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nz.sharepoint.com/sites/improvingherdperformanceproject/Shared Documents/In-Calf Resources/"/>
    </mc:Choice>
  </mc:AlternateContent>
  <xr:revisionPtr revIDLastSave="6" documentId="8_{71FB2E74-43E4-40F9-8C36-EE11D23A61A2}" xr6:coauthVersionLast="47" xr6:coauthVersionMax="47" xr10:uidLastSave="{DDFC027D-EF8F-40F1-A37E-F70A05A27F57}"/>
  <workbookProtection workbookAlgorithmName="SHA-512" workbookHashValue="fkYkALCJhJt3R7hx/MeR4wZYqn+4Fkh7WypSRm3wmnOiIt5ORHAvzSOK/VScr2yR98CmTfW0XBwrvs8r7EH4og==" workbookSaltValue="v/pBYGr3tQACI0XgwzyCyA==" workbookSpinCount="100000" lockStructure="1"/>
  <bookViews>
    <workbookView xWindow="9435" yWindow="-16365" windowWidth="29040" windowHeight="15840" tabRatio="843" firstSheet="2" activeTab="10" xr2:uid="{00000000-000D-0000-FFFF-FFFF00000000}"/>
  </bookViews>
  <sheets>
    <sheet name="Report Example" sheetId="15" r:id="rId1"/>
    <sheet name="Instructions" sheetId="16" r:id="rId2"/>
    <sheet name="Input Sheet" sheetId="2" r:id="rId3"/>
    <sheet name="Results Page" sheetId="14" r:id="rId4"/>
    <sheet name="Non- Cycling" sheetId="4" r:id="rId5"/>
    <sheet name="Heat Detection" sheetId="6" r:id="rId6"/>
    <sheet name="BCS loss @ early lactation" sheetId="8" r:id="rId7"/>
    <sheet name="BCS @ Calving" sheetId="5" r:id="rId8"/>
    <sheet name="Cow Health" sheetId="7" r:id="rId9"/>
    <sheet name="Calving Pattern" sheetId="9" r:id="rId10"/>
    <sheet name="Heifer Rearing" sheetId="10" r:id="rId11"/>
    <sheet name="Glossary" sheetId="17" r:id="rId12"/>
  </sheets>
  <definedNames>
    <definedName name="_xlcn.WorksheetConnection_CalculationsInCalfTrainingVersion.xlsxNonCycle2" hidden="1">NonCycle2</definedName>
    <definedName name="_xlcn.WorksheetConnection_CalculationsInCalfTrainingVersion.xlsxNonCycling" hidden="1">NonCycling</definedName>
    <definedName name="_xlcn.WorksheetConnection_CalculationsInCalfTrainingVersion.xlsxNonCycling2" hidden="1">NonCycling2</definedName>
    <definedName name="_xlnm.Print_Area" localSheetId="7">'BCS @ Calving'!$A$1:$C$57</definedName>
    <definedName name="_xlnm.Print_Area" localSheetId="6">'BCS loss @ early lactation'!$A$1:$H$51</definedName>
    <definedName name="_xlnm.Print_Area" localSheetId="9">'Calving Pattern'!$A$1:$D$51</definedName>
    <definedName name="_xlnm.Print_Area" localSheetId="8">'Cow Health'!$A$1:$E$51</definedName>
    <definedName name="_xlnm.Print_Area" localSheetId="11">Glossary!$A$1:$B$28</definedName>
    <definedName name="_xlnm.Print_Area" localSheetId="5">'Heat Detection'!$A$1:$C$50</definedName>
    <definedName name="_xlnm.Print_Area" localSheetId="10">'Heifer Rearing'!$A$1:$D$53</definedName>
    <definedName name="_xlnm.Print_Area" localSheetId="2">'Input Sheet'!$A$1:$F$56</definedName>
    <definedName name="_xlnm.Print_Area" localSheetId="1">Instructions!$A$1:$B$30</definedName>
    <definedName name="_xlnm.Print_Area" localSheetId="4">'Non- Cycling'!$A$1:$D$40</definedName>
    <definedName name="_xlnm.Print_Area" localSheetId="0">'Report Example'!$A$1:$M$51</definedName>
    <definedName name="_xlnm.Print_Area" localSheetId="3">'Results Page'!$A$1:$H$63</definedName>
  </definedNames>
  <calcPr calcId="191029" iterateDelta="1E-4"/>
  <fileRecoveryPr autoRecover="0"/>
  <extLst>
    <ext xmlns:x15="http://schemas.microsoft.com/office/spreadsheetml/2010/11/main" uri="{FCE2AD5D-F65C-4FA6-A056-5C36A1767C68}">
      <x15:dataModel>
        <x15:modelTables>
          <x15:modelTable id="NonCycling" name="NonCycling" connection="WorksheetConnection_Calculations - In-Calf Training Version.xlsx!NonCycling"/>
          <x15:modelTable id="NonCycle2" name="NonCycle2" connection="WorksheetConnection_Calculations - In-Calf Training Version.xlsx!NonCycle2"/>
          <x15:modelTable id="NonCycling2" name="NonCycling2" connection="WorksheetConnection_Calculations - In-Calf Training Version.xlsx!NonCycling2"/>
        </x15:modelTables>
        <x15:modelRelationships>
          <x15:modelRelationship fromTable="NonCycling" fromColumn="TO CALCULATE THE GAIN FROM NON-CYCLING" toTable="NonCycling2" toColumn="Column1"/>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0" l="1"/>
  <c r="B25" i="10"/>
  <c r="B24" i="10"/>
  <c r="B23" i="10"/>
  <c r="B8" i="2"/>
  <c r="F6" i="2"/>
  <c r="B7" i="9" l="1"/>
  <c r="B6" i="9"/>
  <c r="B5" i="9"/>
  <c r="B4" i="9"/>
  <c r="D6" i="9" l="1"/>
  <c r="B3" i="5"/>
  <c r="D7" i="8"/>
  <c r="B5" i="4"/>
  <c r="B7" i="4" s="1"/>
  <c r="B7" i="7"/>
  <c r="C7" i="7" s="1"/>
  <c r="A7" i="7"/>
  <c r="D7" i="7" s="1"/>
  <c r="B16" i="10"/>
  <c r="B8" i="5"/>
  <c r="B12" i="5"/>
  <c r="B13" i="5"/>
  <c r="B9" i="5"/>
  <c r="D5" i="8"/>
  <c r="D4" i="8"/>
  <c r="B7" i="6"/>
  <c r="B6" i="6"/>
  <c r="B17" i="4"/>
  <c r="C17" i="4" s="1"/>
  <c r="B14" i="10"/>
  <c r="B11" i="10"/>
  <c r="B10" i="10"/>
  <c r="B9" i="10"/>
  <c r="B8" i="10"/>
  <c r="B7" i="10"/>
  <c r="B6" i="10"/>
  <c r="B5" i="10"/>
  <c r="B6" i="7"/>
  <c r="C6" i="7" s="1"/>
  <c r="E6" i="7" s="1"/>
  <c r="B16" i="7" s="1"/>
  <c r="I6" i="2"/>
  <c r="B9" i="7"/>
  <c r="C9" i="7" s="1"/>
  <c r="E9" i="7" s="1"/>
  <c r="B19" i="7" s="1"/>
  <c r="C19" i="7" s="1"/>
  <c r="B8" i="7"/>
  <c r="C8" i="7" s="1"/>
  <c r="E8" i="7" s="1"/>
  <c r="B18" i="7" s="1"/>
  <c r="B4" i="7"/>
  <c r="C4" i="7" s="1"/>
  <c r="E4" i="7" s="1"/>
  <c r="B14" i="7" s="1"/>
  <c r="B5" i="7"/>
  <c r="C5" i="7" s="1"/>
  <c r="E5" i="7" s="1"/>
  <c r="B15" i="7" s="1"/>
  <c r="B6" i="4"/>
  <c r="B15" i="10" l="1"/>
  <c r="B17" i="10" s="1"/>
  <c r="B18" i="10" s="1"/>
  <c r="B30" i="10" s="1"/>
  <c r="A17" i="7"/>
  <c r="E7" i="7"/>
  <c r="B17" i="7" s="1"/>
  <c r="D17" i="7" s="1"/>
  <c r="B14" i="5"/>
  <c r="B31" i="5" s="1"/>
  <c r="B32" i="5" s="1"/>
  <c r="B19" i="5"/>
  <c r="D6" i="8"/>
  <c r="C12" i="8" s="1"/>
  <c r="C15" i="8" s="1"/>
  <c r="D17" i="4"/>
  <c r="B10" i="4"/>
  <c r="B11" i="4" s="1"/>
  <c r="B16" i="4" s="1"/>
  <c r="B8" i="6"/>
  <c r="B18" i="6" s="1"/>
  <c r="B20" i="6" s="1"/>
  <c r="B20" i="5"/>
  <c r="B25" i="5" s="1"/>
  <c r="C16" i="7"/>
  <c r="D16" i="7"/>
  <c r="B10" i="5"/>
  <c r="B29" i="5" s="1"/>
  <c r="B30" i="5" s="1"/>
  <c r="D15" i="7"/>
  <c r="C15" i="7"/>
  <c r="D18" i="7"/>
  <c r="C18" i="7"/>
  <c r="D14" i="7"/>
  <c r="C14" i="7"/>
  <c r="D5" i="9"/>
  <c r="B17" i="9" s="1"/>
  <c r="C17" i="9" s="1"/>
  <c r="B13" i="9"/>
  <c r="C13" i="9" s="1"/>
  <c r="B18" i="9"/>
  <c r="C18" i="9" s="1"/>
  <c r="C17" i="7" l="1"/>
  <c r="C20" i="7" s="1"/>
  <c r="B25" i="7" s="1"/>
  <c r="B26" i="7" s="1"/>
  <c r="B29" i="10"/>
  <c r="B21" i="5"/>
  <c r="C7" i="14" s="1"/>
  <c r="C21" i="8"/>
  <c r="B34" i="5"/>
  <c r="B47" i="5" s="1"/>
  <c r="B48" i="5" s="1"/>
  <c r="B24" i="5"/>
  <c r="B26" i="5" s="1"/>
  <c r="E7" i="14" s="1"/>
  <c r="C16" i="8"/>
  <c r="C25" i="8" s="1"/>
  <c r="B13" i="6"/>
  <c r="B15" i="6" s="1"/>
  <c r="B25" i="6" s="1"/>
  <c r="B26" i="6" s="1"/>
  <c r="D16" i="4"/>
  <c r="D18" i="4" s="1"/>
  <c r="E4" i="14" s="1"/>
  <c r="C16" i="4"/>
  <c r="C18" i="4" s="1"/>
  <c r="B23" i="4" s="1"/>
  <c r="B24" i="4" s="1"/>
  <c r="B18" i="4"/>
  <c r="D4" i="9"/>
  <c r="D20" i="7"/>
  <c r="B29" i="7" s="1"/>
  <c r="B30" i="7" s="1"/>
  <c r="F8" i="14" s="1"/>
  <c r="E5" i="14"/>
  <c r="B29" i="6"/>
  <c r="B30" i="6" s="1"/>
  <c r="F5" i="14" s="1"/>
  <c r="C19" i="9"/>
  <c r="E9" i="14" s="1"/>
  <c r="B12" i="9"/>
  <c r="C12" i="9" l="1"/>
  <c r="C14" i="9" s="1"/>
  <c r="C9" i="14" s="1"/>
  <c r="B44" i="10"/>
  <c r="B45" i="10" s="1"/>
  <c r="B36" i="10"/>
  <c r="B37" i="10" s="1"/>
  <c r="B39" i="5"/>
  <c r="B40" i="5" s="1"/>
  <c r="D7" i="14" s="1"/>
  <c r="B40" i="10"/>
  <c r="B43" i="5"/>
  <c r="B44" i="5" s="1"/>
  <c r="F7" i="14" s="1"/>
  <c r="B27" i="4"/>
  <c r="B28" i="4" s="1"/>
  <c r="F4" i="14" s="1"/>
  <c r="C4" i="14"/>
  <c r="C5" i="14"/>
  <c r="B31" i="10"/>
  <c r="E8" i="14"/>
  <c r="C8" i="14"/>
  <c r="D5" i="14"/>
  <c r="G5" i="14" s="1"/>
  <c r="B32" i="6"/>
  <c r="C32" i="6" s="1"/>
  <c r="B32" i="7"/>
  <c r="C32" i="7" s="1"/>
  <c r="D8" i="14"/>
  <c r="G8" i="14" s="1"/>
  <c r="B28" i="9"/>
  <c r="B29" i="9" s="1"/>
  <c r="F9" i="14" s="1"/>
  <c r="D4" i="14"/>
  <c r="B24" i="9" l="1"/>
  <c r="B25" i="9" s="1"/>
  <c r="D9" i="14" s="1"/>
  <c r="G9" i="14" s="1"/>
  <c r="C10" i="14"/>
  <c r="B41" i="10"/>
  <c r="F10" i="14" s="1"/>
  <c r="E10" i="14"/>
  <c r="E11" i="14" s="1"/>
  <c r="B50" i="5"/>
  <c r="C50" i="5" s="1"/>
  <c r="G7" i="14"/>
  <c r="C22" i="8"/>
  <c r="D6" i="14" s="1"/>
  <c r="C6" i="14"/>
  <c r="C26" i="8"/>
  <c r="F6" i="14" s="1"/>
  <c r="E6" i="14"/>
  <c r="B30" i="4"/>
  <c r="C30" i="4" s="1"/>
  <c r="D10" i="14"/>
  <c r="G4" i="14"/>
  <c r="C11" i="14" l="1"/>
  <c r="B31" i="9"/>
  <c r="C31" i="9" s="1"/>
  <c r="B47" i="10"/>
  <c r="C47" i="10" s="1"/>
  <c r="G10" i="14"/>
  <c r="F11" i="14"/>
  <c r="C28" i="8"/>
  <c r="E23" i="8" s="1"/>
  <c r="G6" i="14"/>
  <c r="D11" i="14"/>
  <c r="G11" i="14" l="1"/>
  <c r="E27"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Calculations - In-Calf Training Version.xlsx!NonCycle2" type="102" refreshedVersion="6" minRefreshableVersion="5">
    <extLst>
      <ext xmlns:x15="http://schemas.microsoft.com/office/spreadsheetml/2010/11/main" uri="{DE250136-89BD-433C-8126-D09CA5730AF9}">
        <x15:connection id="NonCycle2">
          <x15:rangePr sourceName="_xlcn.WorksheetConnection_CalculationsInCalfTrainingVersion.xlsxNonCycle2"/>
        </x15:connection>
      </ext>
    </extLst>
  </connection>
  <connection id="3" xr16:uid="{00000000-0015-0000-FFFF-FFFF02000000}" name="WorksheetConnection_Calculations - In-Calf Training Version.xlsx!NonCycling" type="102" refreshedVersion="6" minRefreshableVersion="5">
    <extLst>
      <ext xmlns:x15="http://schemas.microsoft.com/office/spreadsheetml/2010/11/main" uri="{DE250136-89BD-433C-8126-D09CA5730AF9}">
        <x15:connection id="NonCycling">
          <x15:rangePr sourceName="_xlcn.WorksheetConnection_CalculationsInCalfTrainingVersion.xlsxNonCycling"/>
        </x15:connection>
      </ext>
    </extLst>
  </connection>
  <connection id="4" xr16:uid="{00000000-0015-0000-FFFF-FFFF03000000}" name="WorksheetConnection_Calculations - In-Calf Training Version.xlsx!NonCycling2" type="102" refreshedVersion="6" minRefreshableVersion="5">
    <extLst>
      <ext xmlns:x15="http://schemas.microsoft.com/office/spreadsheetml/2010/11/main" uri="{DE250136-89BD-433C-8126-D09CA5730AF9}">
        <x15:connection id="NonCycling2">
          <x15:rangePr sourceName="_xlcn.WorksheetConnection_CalculationsInCalfTrainingVersion.xlsxNonCycling2"/>
        </x15:connection>
      </ext>
    </extLst>
  </connection>
</connections>
</file>

<file path=xl/sharedStrings.xml><?xml version="1.0" encoding="utf-8"?>
<sst xmlns="http://schemas.openxmlformats.org/spreadsheetml/2006/main" count="342" uniqueCount="267">
  <si>
    <t>Example Fertility Focus Report - where can I find my information?</t>
  </si>
  <si>
    <t>Use this quick guide as a reference of where to find herd information.</t>
  </si>
  <si>
    <t>DairyNZ InCalf Gap Calculator</t>
  </si>
  <si>
    <t>Aim</t>
  </si>
  <si>
    <r>
      <t xml:space="preserve">This is a </t>
    </r>
    <r>
      <rPr>
        <b/>
        <sz val="11"/>
        <color theme="1"/>
        <rFont val="Arial"/>
        <family val="2"/>
        <scheme val="minor"/>
      </rPr>
      <t xml:space="preserve">Gap Calculator </t>
    </r>
    <r>
      <rPr>
        <sz val="11"/>
        <color theme="1"/>
        <rFont val="Arial"/>
        <family val="2"/>
        <scheme val="minor"/>
      </rPr>
      <t xml:space="preserve">tool. It estimates the economic cost of the 'gap' of a herd's current reproductive performance against farm or industry targets
Individual farm data can be used to provide farm-specific estimates
It is based off the Herd Assesment Pack Tools (PDF). If you have any questions around how a figure is calculated, please refer to the appropriate PDF's for further explanation of the full calculations
</t>
    </r>
  </si>
  <si>
    <t xml:space="preserve">Click Here to view the Herd Assessment Pack PDF Tools
</t>
  </si>
  <si>
    <t xml:space="preserve">This tool is designed to be used in conjunction with the advice of an In-Calf trained adviser. 
</t>
  </si>
  <si>
    <t>How to use:</t>
  </si>
  <si>
    <t xml:space="preserve">1. Enter your Herd Information on the Input Sheet. 
</t>
  </si>
  <si>
    <t xml:space="preserve">This information will be used for all sections of the tool.
If you are unsure where to find any of the stats on your herd information, there is an example Fertility Focus Report on the previous page that you can refer to 
If you are a 50:50 sharemilker, please indicate this on the input sheet. Due to the unique nature of sharemilking contracts, we are able to calculate the value of the gap at 50% of the total farm to reflect what the value would be to the sharemilker. If you wish to view the value to the whole farm, please select "No". 
</t>
  </si>
  <si>
    <t xml:space="preserve">2. Each section of the input sheet relates to a different area of your herd reproductive performance. 
    You may choose to fill them all in, or you may decide to only fill in the sections you are interested in.
</t>
  </si>
  <si>
    <r>
      <t xml:space="preserve">Each section is colour coded to match the respective tab in which the calculations are made if you are interested in these. 
In the </t>
    </r>
    <r>
      <rPr>
        <b/>
        <sz val="11"/>
        <color theme="1"/>
        <rFont val="Arial"/>
        <family val="2"/>
        <scheme val="minor"/>
      </rPr>
      <t>Cow Health Section</t>
    </r>
    <r>
      <rPr>
        <sz val="11"/>
        <color theme="1"/>
        <rFont val="Arial"/>
        <family val="2"/>
        <scheme val="minor"/>
      </rPr>
      <t xml:space="preserve">, click the cell that says "select one" and a drop down arrow will appear to the right of the cell giving you the options
If you aren't a numbers person - then skip the tabs and head straight for the Results Page
</t>
    </r>
  </si>
  <si>
    <t>3. The calculator is pre-set with industry targets, but you are able to tweak the figures to your desired rates by overtyping the industry targets.</t>
  </si>
  <si>
    <t xml:space="preserve">   Updated Dec 2019</t>
  </si>
  <si>
    <t>Input Sheet</t>
  </si>
  <si>
    <t>FARM DETAILS</t>
  </si>
  <si>
    <t>TO CALCULATE THE LIKELY IMPACT FROM BCS @ CALVING</t>
  </si>
  <si>
    <t>Are you a 50:50 Sharemilker?</t>
  </si>
  <si>
    <t>No</t>
  </si>
  <si>
    <t>% below 5.0</t>
  </si>
  <si>
    <t>Yes</t>
  </si>
  <si>
    <t>Total cows to calve</t>
  </si>
  <si>
    <t>% above 5.5</t>
  </si>
  <si>
    <t>Total cows at Mating Start Date (MSD)</t>
  </si>
  <si>
    <t>Average BCS</t>
  </si>
  <si>
    <t>Total Heifers (First Calvers)</t>
  </si>
  <si>
    <t>Desired % below 5.0</t>
  </si>
  <si>
    <t>Total MA Cows</t>
  </si>
  <si>
    <t>Desired % above 5.5</t>
  </si>
  <si>
    <t>Select One:</t>
  </si>
  <si>
    <t>Planned Start of Calving</t>
  </si>
  <si>
    <t>Vaginal Discharge</t>
  </si>
  <si>
    <t>Mating Start Date</t>
  </si>
  <si>
    <t>TO CALCULATE THE LIKELY IMPACT FROM COW HEALTH</t>
  </si>
  <si>
    <t>Endometritis (Metri-Check Positive)</t>
  </si>
  <si>
    <t>6-Week In-Calf Rate (Fertility Focus Report)</t>
  </si>
  <si>
    <t>Assisted Calving</t>
  </si>
  <si>
    <t>Desired 6-Week In-Calf rate</t>
  </si>
  <si>
    <t>Stillborn calf</t>
  </si>
  <si>
    <t>Not-In-Calf Rate (Fertility Focus Report)</t>
  </si>
  <si>
    <t>Retained foetal membranes</t>
  </si>
  <si>
    <t>J</t>
  </si>
  <si>
    <t>Desired Not-In-Calf Rate (Fertility Focus Report)</t>
  </si>
  <si>
    <t>Lameness</t>
  </si>
  <si>
    <t>X</t>
  </si>
  <si>
    <t>Total Length of Mating (days)</t>
  </si>
  <si>
    <t>Mastitis</t>
  </si>
  <si>
    <t>F</t>
  </si>
  <si>
    <t>Milk Price $/KgMS</t>
  </si>
  <si>
    <t>Breed</t>
  </si>
  <si>
    <t>TO CALCULATE THE LIKELY IMPACT FROM CALVING PATTERN</t>
  </si>
  <si>
    <t>TO CALCULATE THE LIKELY IMPACT FROM NON-CYCLING</t>
  </si>
  <si>
    <t>Cows calving by week 3 (%)</t>
  </si>
  <si>
    <t>Fertility Focus Report - Premating heats figure OR</t>
  </si>
  <si>
    <t>Cows calving by week 6 (%)</t>
  </si>
  <si>
    <t>No. cows with a premating heat</t>
  </si>
  <si>
    <t>Cows calving by week 9 (%)</t>
  </si>
  <si>
    <t>Desired non-cycling rate</t>
  </si>
  <si>
    <t>Cows calving by week 12 (%)</t>
  </si>
  <si>
    <t>TO CALCULATE THE LIKELY IMPACT FROM HEAT DETECTION</t>
  </si>
  <si>
    <t xml:space="preserve">TO CALCULATE THE LIKELY IMPACT FROM HEIFER REARING </t>
  </si>
  <si>
    <t>Actual Heat detection efficiency (Fertility Focus Report)</t>
  </si>
  <si>
    <t>Mature Liveweight of the herd</t>
  </si>
  <si>
    <t>Desired Heat detection efficiency</t>
  </si>
  <si>
    <t>Age (Months)</t>
  </si>
  <si>
    <t>Measured Liveweight</t>
  </si>
  <si>
    <t>TO CALCULATE THE LIKELY IMPACT FROM BCS LOSS @ EARLY LACTATION</t>
  </si>
  <si>
    <t>Replacement Rate</t>
  </si>
  <si>
    <t>Average BCS just before PSC</t>
  </si>
  <si>
    <t>Average BCS just before MSD</t>
  </si>
  <si>
    <t>Updated Dec 2019</t>
  </si>
  <si>
    <t>`</t>
  </si>
  <si>
    <t>What is the estimated value of my herd's reproductive "gap"?</t>
  </si>
  <si>
    <t>Column1</t>
  </si>
  <si>
    <t>6-Week In-Calf Rate Gap</t>
  </si>
  <si>
    <t>6-Week In-Calf Rate Gap($)</t>
  </si>
  <si>
    <t>Not-In-Calf Rate Gap</t>
  </si>
  <si>
    <t>Not-In-Calf Rate Gap($)</t>
  </si>
  <si>
    <t>Total InCalf Economic Gap</t>
  </si>
  <si>
    <t>Non-Cycling</t>
  </si>
  <si>
    <t>Heat Detection</t>
  </si>
  <si>
    <t>BCS @ early lactation</t>
  </si>
  <si>
    <t>BCS @ Calving*</t>
  </si>
  <si>
    <t>Cow Health</t>
  </si>
  <si>
    <t>Calving Pattern</t>
  </si>
  <si>
    <t>Heifer Rearing*</t>
  </si>
  <si>
    <t>Potential "Gap" on your farm</t>
  </si>
  <si>
    <t>*This figure also has an economic value for increase MS performance</t>
  </si>
  <si>
    <t>DairyNZ InCalf - Non-Cycling Calculator</t>
  </si>
  <si>
    <t>Calculate your Cycling Rate</t>
  </si>
  <si>
    <t>If your pre-mating heats are not reported in your InCalf Fertility Focus report, you can still calculate it manually if you know the number of non-cyclers.</t>
  </si>
  <si>
    <t>Total no. cows at MSD</t>
  </si>
  <si>
    <t>% cows with premating heat (cycling rate)</t>
  </si>
  <si>
    <t>Calculate your Non-Cycling Rate</t>
  </si>
  <si>
    <t>Cycling Rate</t>
  </si>
  <si>
    <t>Non-Cycling Rate</t>
  </si>
  <si>
    <t>Potential improvement in your herds 6-week in-calf rate</t>
  </si>
  <si>
    <t>Estimated impact of non-cycling rates on the herd’s 6-week in-calf rate</t>
  </si>
  <si>
    <t>6-week in-calf rate figure</t>
  </si>
  <si>
    <t>Not-in-calf rate figure</t>
  </si>
  <si>
    <t>Non-cycling rate (%)</t>
  </si>
  <si>
    <t>6-week in-calf rate (%)</t>
  </si>
  <si>
    <t>Not-in-calf (%)</t>
  </si>
  <si>
    <t>Actual non-cycling rate</t>
  </si>
  <si>
    <t>Gap</t>
  </si>
  <si>
    <t>Estimate the likely economic benefits of closing non-cycling rate gap</t>
  </si>
  <si>
    <t>What is closing your 6-week in-calf rate 'gap' worth?</t>
  </si>
  <si>
    <t>6-week In-Calf rate Gap (%)</t>
  </si>
  <si>
    <t>Estimated benefit in closing gap</t>
  </si>
  <si>
    <t>What is closing your not-in-calf rate ‘gap’ worth?</t>
  </si>
  <si>
    <t>Not-in-calf rate gap (%)</t>
  </si>
  <si>
    <t>What is closing your overall herd reproductive performance ‘gap’ worth?</t>
  </si>
  <si>
    <t>I</t>
  </si>
  <si>
    <t>DairyNZ InCalf - Heat Detection Calculator</t>
  </si>
  <si>
    <t>Estimate the likely effect that your heat detection performance gap had on your herd’s overall reproductive performance</t>
  </si>
  <si>
    <t>Calculate your heat detection efficiency gap:</t>
  </si>
  <si>
    <t>Desired heat detection efficiency</t>
  </si>
  <si>
    <t>(Industry target is 95%)</t>
  </si>
  <si>
    <t>Actual heat detection efficiency</t>
  </si>
  <si>
    <t>Heat detection efficiency gap</t>
  </si>
  <si>
    <t>Estimate the likely effect of closing the heat detection efficiency gap on herd reproductive performance</t>
  </si>
  <si>
    <t xml:space="preserve"> </t>
  </si>
  <si>
    <t xml:space="preserve">First calculate the increase in 6-week in-calf rate </t>
  </si>
  <si>
    <t>Heat Detection Gap</t>
  </si>
  <si>
    <t>Multiplier*</t>
  </si>
  <si>
    <t>6-week In-Calf rate gap</t>
  </si>
  <si>
    <t>Next calculate the expected decrease in not-in-calf rate (D) by closing this gap:</t>
  </si>
  <si>
    <t>Not-In-Calf rate gap</t>
  </si>
  <si>
    <t>Estimate the likely economic benefits of closing heat detection gap</t>
  </si>
  <si>
    <t>What is closing your 6-week in-calf rate ‘gap’ worth?</t>
  </si>
  <si>
    <r>
      <rPr>
        <sz val="14"/>
        <color theme="1"/>
        <rFont val="Arial"/>
        <family val="2"/>
        <scheme val="minor"/>
      </rPr>
      <t>*</t>
    </r>
    <r>
      <rPr>
        <sz val="9"/>
        <color theme="1"/>
        <rFont val="Arial"/>
        <family val="2"/>
        <scheme val="minor"/>
      </rPr>
      <t>The multipliers of 0.53 and 0.12 were derived from applying the DiaryNZ Whole Farm Model on real commercial herds. Heat detection levels of between 60 and 100% for the first 6 weeks of the mating priod were tested in these herds. The relationships between level of heat detection efficiency and the resulting 6-week in-calf rate and not-in-calf rate (after 12 weeks mating) were then investigated. The above multiplers are the slopes of these linear regression equations, respectively.</t>
    </r>
  </si>
  <si>
    <t>DairyNZ InCalf - BCS @ Early Lactation</t>
  </si>
  <si>
    <t>From 2 Weeks before the Planned Start of Mating Calculate</t>
  </si>
  <si>
    <t>From BCS collected at Planned Start of Calving</t>
  </si>
  <si>
    <t>Write down the number of cows in each BCS category. Multiply this number of cows by the BCS (eg. 24 cows at BCS 4.5 = 108). Add all these values together and divide by the total number of cows assessed. The result is average BCS.</t>
  </si>
  <si>
    <t>Average BCS loss of herd</t>
  </si>
  <si>
    <t>% are too thin</t>
  </si>
  <si>
    <t>Add up the total number of cows with BCS below 5.0. Divide this by the total number of cows assessed (x 100 %).</t>
  </si>
  <si>
    <t>Estimate the BCS at early lactation gap</t>
  </si>
  <si>
    <t>Impact of BCS loss in early lactation on overall reproductive performance</t>
  </si>
  <si>
    <t>Calculate your gap in early lactation BCS loss:</t>
  </si>
  <si>
    <t>Average herd BCS loss</t>
  </si>
  <si>
    <t>Possible decrease in 6-week in-calf rate</t>
  </si>
  <si>
    <t>Possible increase in not-in-calf rate</t>
  </si>
  <si>
    <t>Actual BCS Loss</t>
  </si>
  <si>
    <t>Less than 0.5</t>
  </si>
  <si>
    <t>A reduction from an actual herd BCS of average herd BCS loss in early lactation would have the following beneficial effects:</t>
  </si>
  <si>
    <t>0.5 –0.75</t>
  </si>
  <si>
    <t xml:space="preserve">6-week in-calf rate </t>
  </si>
  <si>
    <t>0.75-1</t>
  </si>
  <si>
    <t>Not-in-calf rate</t>
  </si>
  <si>
    <t>1-1.25</t>
  </si>
  <si>
    <t>1.25-1.5</t>
  </si>
  <si>
    <t>Estimate the likely economic benefits of of closing BCS @ early lactation gap</t>
  </si>
  <si>
    <t>More than 1.5</t>
  </si>
  <si>
    <t>DairyNZ InCalf - BCS @ Calving</t>
  </si>
  <si>
    <t xml:space="preserve">% cows below 5.0 BCS </t>
  </si>
  <si>
    <t>Estimate the Gap</t>
  </si>
  <si>
    <t>BCS @ Calving</t>
  </si>
  <si>
    <t>Actual % Below 5</t>
  </si>
  <si>
    <t>Desired % Below 5</t>
  </si>
  <si>
    <t>Actual % above 5.5</t>
  </si>
  <si>
    <t>Potential improvement in your herd’s reproductive performance</t>
  </si>
  <si>
    <t>Estimate effects of BCS @ Calving on 6-week in-calf rate</t>
  </si>
  <si>
    <t xml:space="preserve">Your herd’s actual BCS profile </t>
  </si>
  <si>
    <t xml:space="preserve">Desired profile </t>
  </si>
  <si>
    <t>Difference (your potential improvement in 6-week in-calf rate)</t>
  </si>
  <si>
    <t>Estimate effects of BCS @ Calving on Not-In-Calf Rate</t>
  </si>
  <si>
    <t>Estimate the likely effect of closing the gaps on milk production</t>
  </si>
  <si>
    <t>% less than 5.0 Gap</t>
  </si>
  <si>
    <t>Change in Milksolids</t>
  </si>
  <si>
    <t>% above 5.5 Gap</t>
  </si>
  <si>
    <t>Change in kgMS per 1% of herd</t>
  </si>
  <si>
    <t>Estimate the likely economic benefits of of closing BCS @ calving gap</t>
  </si>
  <si>
    <t>What is closing your milksolids potentail ‘gap’ worth?</t>
  </si>
  <si>
    <t>Milksolids potential gap (per 1% of the herd</t>
  </si>
  <si>
    <t>DairyNZ InCalf - Cow Health</t>
  </si>
  <si>
    <t xml:space="preserve">Cow health problem </t>
  </si>
  <si>
    <t xml:space="preserve">No cows affected </t>
  </si>
  <si>
    <t xml:space="preserve">Percentage Affected </t>
  </si>
  <si>
    <t xml:space="preserve">target % affected  </t>
  </si>
  <si>
    <t xml:space="preserve">Gap 
</t>
  </si>
  <si>
    <t>Assess the Benefits</t>
  </si>
  <si>
    <t>Estimate the likely effect of closing the gaps on herd reproductive performance</t>
  </si>
  <si>
    <t xml:space="preserve">Gap </t>
  </si>
  <si>
    <t xml:space="preserve">Likely decrease in 6 Week in-calf rate  </t>
  </si>
  <si>
    <t xml:space="preserve">Likely decrease in not-in-calf rate </t>
  </si>
  <si>
    <t>The likely decrease in 6 week, and not-in-calf rate if all health problem gaps were closed</t>
  </si>
  <si>
    <t>Estimate the likely economic benefits of closing cow health gap</t>
  </si>
  <si>
    <t>DairyNZ InCalf - Calving pattern</t>
  </si>
  <si>
    <t>Herd actual</t>
  </si>
  <si>
    <t>My desired pattern                    (industry target)</t>
  </si>
  <si>
    <t>Gap 
(desired - actual)</t>
  </si>
  <si>
    <t>Calved by Week 3</t>
  </si>
  <si>
    <t>Calved by Week 6</t>
  </si>
  <si>
    <t>Calved by Week 9</t>
  </si>
  <si>
    <t>Calved after Week 9</t>
  </si>
  <si>
    <t>Estimate the likely effect of closing the calving pattern gaps on herd reproductive performance.</t>
  </si>
  <si>
    <t>Calculate 6-week In-Calf rate Gap</t>
  </si>
  <si>
    <t>Calved by Week 6 gap</t>
  </si>
  <si>
    <t xml:space="preserve">Calved by Week 9 gap </t>
  </si>
  <si>
    <t>6-week In-Calf rate Gap</t>
  </si>
  <si>
    <t>Calculate Not-in-Calf rate Gap</t>
  </si>
  <si>
    <t>Not-in-Calf rate Gap</t>
  </si>
  <si>
    <t>Estimate the economic benefits of improved herd reproductive performance from closing the gaps in calving pattern</t>
  </si>
  <si>
    <t>DairyNZ InCalf - Heifer Rearing</t>
  </si>
  <si>
    <t>Calculate liveweight-for-age targets</t>
  </si>
  <si>
    <t>Age (months)</t>
  </si>
  <si>
    <t>Lwt Targets</t>
  </si>
  <si>
    <t>Gap between actual and Target Liveweight</t>
  </si>
  <si>
    <t>Age</t>
  </si>
  <si>
    <t>Target LWT</t>
  </si>
  <si>
    <t xml:space="preserve"> Measured LWT</t>
  </si>
  <si>
    <t xml:space="preserve">% Average LWT Gap </t>
  </si>
  <si>
    <t>Liveweight Gap (%)</t>
  </si>
  <si>
    <t>6wk ICR (%)</t>
  </si>
  <si>
    <t>Not-in-calf rate (%)</t>
  </si>
  <si>
    <t>Assess the benefits of closing the liveweight gap for this group of heifers</t>
  </si>
  <si>
    <t>Estimate the likely effects of closing the gap on reproductive performance and milk production</t>
  </si>
  <si>
    <t>First Calver 6-week In-Calf Rate</t>
  </si>
  <si>
    <t>First Calver Not-in-Calf Rate</t>
  </si>
  <si>
    <t>First Lactation Extra MS Production (kgMS/heifer)</t>
  </si>
  <si>
    <r>
      <t xml:space="preserve">Next determine the likely economic benefits of these effects on </t>
    </r>
    <r>
      <rPr>
        <b/>
        <i/>
        <u/>
        <sz val="11"/>
        <color theme="1"/>
        <rFont val="Arial"/>
        <family val="2"/>
        <scheme val="minor"/>
      </rPr>
      <t>this group of heifers</t>
    </r>
  </si>
  <si>
    <t>Value from Increasing 6-Week In-Calf Rate</t>
  </si>
  <si>
    <t>Value from Decreasing Not-In-Calf Rate</t>
  </si>
  <si>
    <t xml:space="preserve">Value of Increased milk production </t>
  </si>
  <si>
    <t>Total value of improved heifer performance</t>
  </si>
  <si>
    <r>
      <t xml:space="preserve">Assess the benefits of closing the liveweight gap for the </t>
    </r>
    <r>
      <rPr>
        <b/>
        <i/>
        <u/>
        <sz val="12"/>
        <color theme="0"/>
        <rFont val="Arial"/>
        <family val="2"/>
        <scheme val="minor"/>
      </rPr>
      <t>whole herd</t>
    </r>
    <r>
      <rPr>
        <b/>
        <i/>
        <sz val="12"/>
        <color theme="0"/>
        <rFont val="Arial"/>
        <family val="2"/>
        <scheme val="minor"/>
      </rPr>
      <t xml:space="preserve"> if you regularly close this gap</t>
    </r>
  </si>
  <si>
    <t>What is closing your milksolids potential ‘gap’ worth?</t>
  </si>
  <si>
    <t xml:space="preserve">Milksolids potential gap </t>
  </si>
  <si>
    <t>Definition of terms</t>
  </si>
  <si>
    <t>3-week submission rate (submission rate, SR):</t>
  </si>
  <si>
    <t>The percentage of cows that received at least one insemination or mating in the first 3 weeks of the mating period.  This measure must be high in order to achieve a high 6-week in-calf rate.</t>
  </si>
  <si>
    <t>6-week in-calf rate:</t>
  </si>
  <si>
    <t>The percentage of cows that became pregnant in the first 6 weeks of mating.  This is the best measure of overall herd reproductive performance.</t>
  </si>
  <si>
    <t>Not-in-calf rate:</t>
  </si>
  <si>
    <t>The percentage of cows within a given mating group that failed to become pregnant by the end of a mating period.  Taken alone, this is not a precise measure of overall herd reproductive performance in seasonal and split calving herds.
Note: not-in-calf rate is preferred over ‘empty rate’ as it includes all cows who calved and were in the herd at the start of mating, therefore eligible to be mated.  When referring to ‘empty’ rate, it tends to exclude animals and is therefore not a fair indication of reproduction performance.</t>
  </si>
  <si>
    <t>Conception rate (CR):</t>
  </si>
  <si>
    <t>The percentage of inseminations that resulted in a pregnancy as determined by pregnancy testing.  Taken alone, this measure does not describe overall herd reproductive performance, but a satisfactory conception rate is required to achieve a high 6-week in-calf rate.</t>
  </si>
  <si>
    <t>Non-return rate (NRR):</t>
  </si>
  <si>
    <t>The percentage of inseminations where the cow did not return to heat within 2-24 days after the insemination.  A poor non-return rate provides an early warning that the conception rate is likely to be poor.</t>
  </si>
  <si>
    <t>Non-return rate (18-24 days):</t>
  </si>
  <si>
    <t>A form of non-return rate used by breeding companies to monitor AB technician performance that excludes both short returns (&lt;18 days) and long returns (&gt;24 days).</t>
  </si>
  <si>
    <t>Carryover cows:</t>
  </si>
  <si>
    <t>Cows that are empty at the end of one mating period which are kept in the herd to be mated in a future mating period.</t>
  </si>
  <si>
    <t>Empty cows:</t>
  </si>
  <si>
    <t>Cows determined by pregnancy test from 5 weeks after the end of mating to have failed to get in calf during the mating period.</t>
  </si>
  <si>
    <t>Heat (oestrus):</t>
  </si>
  <si>
    <t>The behavioural display by the cow to indicate the appropriate time for being mated.  May also be referred to as ‘bulling’.</t>
  </si>
  <si>
    <t>InCalf Fertility Focus Report:</t>
  </si>
  <si>
    <t>A single-page summary of reproductive performance in your herd, which is available from your herd improvement recording software.</t>
  </si>
  <si>
    <t>InCalf Herd Assessment Pack tools:</t>
  </si>
  <si>
    <t>A set of stand-alone worksheet calculators for assessing the key areas of reproductive management and prioritising for action.</t>
  </si>
  <si>
    <t>InCalf ‘process’:</t>
  </si>
  <si>
    <t>The continuous improvement process of assessing your herd reproductive performance, identifying scope for improvement and associated benefits, considering options for change and implementing selected management options.</t>
  </si>
  <si>
    <t>Phantom cow:</t>
  </si>
  <si>
    <t>A cow that was assumed pregnant but later found to be empty.  True phantoms do conceive but the embryo dies while the cow continues to ‘believe’ she’s pregnant.  Cows can falsely appear to be phantoms when heat detection is inaccurate and poorly implemented as mating progresses.</t>
  </si>
  <si>
    <t>Pregnancy test:</t>
  </si>
  <si>
    <t>A diagnostic test to check if a cow is pregnant, and possibly the date of conception and age of the pregnancy.  Skilled operators examine uterine contents by manual palpation or ultrasonography.</t>
  </si>
  <si>
    <t>Pre-mating cycling rate:</t>
  </si>
  <si>
    <t>The percentage of cows in the herd detected on heat before Mating Start Date (MSD) or by 9-10 days before MSD.</t>
  </si>
  <si>
    <t>Reproduction management plan:</t>
  </si>
  <si>
    <t>Your own documented plan for managing the ‘Fertility of Life cycle’ activities required for optimising herd fertility.  The plan must at least describe what will be done</t>
  </si>
  <si>
    <t>Submission rate:</t>
  </si>
  <si>
    <t>See 3-week submission rate</t>
  </si>
  <si>
    <t>Targets:</t>
  </si>
  <si>
    <t>Each reproductive target derives from what the top quartile (best 25%) of NZ dairy farms were achieving during the National Monitoring Fertility Report 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</si>
</sst>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Red]\-&quot;$&quot;#,##0"/>
    <numFmt numFmtId="8" formatCode="&quot;$&quot;#,##0.00;[Red]\-&quot;$&quot;#,##0.00"/>
    <numFmt numFmtId="44" formatCode="_-&quot;$&quot;* #,##0.00_-;\-&quot;$&quot;* #,##0.00_-;_-&quot;$&quot;* &quot;-&quot;??_-;_-@_-"/>
    <numFmt numFmtId="164" formatCode="0.0%"/>
    <numFmt numFmtId="165" formatCode="&quot;$&quot;#,##0"/>
    <numFmt numFmtId="166" formatCode="&quot;$&quot;#,##0.00"/>
    <numFmt numFmtId="167" formatCode="&quot;$&quot;#,##0.0"/>
    <numFmt numFmtId="168" formatCode="0.0"/>
  </numFmts>
  <fonts count="63" x14ac:knownFonts="1">
    <font>
      <sz val="11"/>
      <color theme="1"/>
      <name val="Arial"/>
      <family val="2"/>
      <scheme val="minor"/>
    </font>
    <font>
      <sz val="11"/>
      <color theme="1"/>
      <name val="Arial"/>
      <family val="2"/>
      <scheme val="minor"/>
    </font>
    <font>
      <b/>
      <sz val="11"/>
      <color theme="1"/>
      <name val="Arial"/>
      <family val="2"/>
      <scheme val="minor"/>
    </font>
    <font>
      <i/>
      <sz val="11"/>
      <color theme="1"/>
      <name val="Arial"/>
      <family val="2"/>
      <scheme val="minor"/>
    </font>
    <font>
      <sz val="10"/>
      <color theme="1"/>
      <name val="Arial"/>
      <family val="2"/>
      <scheme val="minor"/>
    </font>
    <font>
      <sz val="9"/>
      <color theme="1"/>
      <name val="Arial"/>
      <family val="2"/>
      <scheme val="minor"/>
    </font>
    <font>
      <sz val="8"/>
      <color theme="1"/>
      <name val="Arial"/>
      <family val="2"/>
      <scheme val="minor"/>
    </font>
    <font>
      <b/>
      <sz val="9"/>
      <color theme="1"/>
      <name val="Arial"/>
      <family val="2"/>
      <scheme val="minor"/>
    </font>
    <font>
      <b/>
      <sz val="10"/>
      <color theme="1"/>
      <name val="Arial"/>
      <family val="2"/>
      <scheme val="minor"/>
    </font>
    <font>
      <b/>
      <i/>
      <sz val="11"/>
      <color theme="1"/>
      <name val="Arial"/>
      <family val="2"/>
      <scheme val="minor"/>
    </font>
    <font>
      <sz val="11"/>
      <color rgb="FFFF0000"/>
      <name val="Arial"/>
      <family val="2"/>
      <scheme val="minor"/>
    </font>
    <font>
      <b/>
      <sz val="11"/>
      <color rgb="FFFF0000"/>
      <name val="Arial"/>
      <family val="2"/>
      <scheme val="minor"/>
    </font>
    <font>
      <b/>
      <sz val="12"/>
      <color theme="1"/>
      <name val="Arial"/>
      <family val="2"/>
      <scheme val="minor"/>
    </font>
    <font>
      <b/>
      <sz val="16"/>
      <color theme="1"/>
      <name val="Arial"/>
      <family val="2"/>
      <scheme val="minor"/>
    </font>
    <font>
      <b/>
      <sz val="14"/>
      <color theme="1"/>
      <name val="Arial"/>
      <family val="2"/>
      <scheme val="minor"/>
    </font>
    <font>
      <b/>
      <sz val="10"/>
      <color rgb="FFFF0000"/>
      <name val="Arial"/>
      <family val="2"/>
      <scheme val="minor"/>
    </font>
    <font>
      <b/>
      <i/>
      <sz val="16"/>
      <color theme="0"/>
      <name val="Arial"/>
      <family val="2"/>
      <scheme val="minor"/>
    </font>
    <font>
      <sz val="11"/>
      <name val="Arial"/>
      <family val="2"/>
      <scheme val="minor"/>
    </font>
    <font>
      <b/>
      <sz val="11"/>
      <color theme="0"/>
      <name val="Arial"/>
      <family val="2"/>
      <scheme val="minor"/>
    </font>
    <font>
      <b/>
      <sz val="16"/>
      <color theme="0"/>
      <name val="Arial"/>
      <family val="2"/>
      <scheme val="minor"/>
    </font>
    <font>
      <b/>
      <i/>
      <sz val="12"/>
      <color theme="1"/>
      <name val="Arial"/>
      <family val="2"/>
      <scheme val="minor"/>
    </font>
    <font>
      <b/>
      <sz val="11"/>
      <name val="Arial"/>
      <family val="2"/>
      <scheme val="minor"/>
    </font>
    <font>
      <b/>
      <i/>
      <sz val="11"/>
      <name val="Arial"/>
      <family val="2"/>
      <scheme val="minor"/>
    </font>
    <font>
      <b/>
      <i/>
      <sz val="11"/>
      <color theme="0"/>
      <name val="Arial"/>
      <family val="2"/>
      <scheme val="minor"/>
    </font>
    <font>
      <b/>
      <sz val="12"/>
      <color rgb="FF92D050"/>
      <name val="Arial"/>
      <family val="2"/>
      <scheme val="minor"/>
    </font>
    <font>
      <b/>
      <sz val="12"/>
      <name val="Arial"/>
      <family val="2"/>
      <scheme val="minor"/>
    </font>
    <font>
      <sz val="12"/>
      <name val="Arial"/>
      <family val="2"/>
      <scheme val="minor"/>
    </font>
    <font>
      <u/>
      <sz val="11"/>
      <color theme="10"/>
      <name val="Arial"/>
      <family val="2"/>
      <scheme val="minor"/>
    </font>
    <font>
      <b/>
      <sz val="18"/>
      <color theme="0"/>
      <name val="Arial"/>
      <family val="2"/>
      <scheme val="minor"/>
    </font>
    <font>
      <b/>
      <i/>
      <sz val="12"/>
      <color theme="0"/>
      <name val="Arial"/>
      <family val="2"/>
      <scheme val="minor"/>
    </font>
    <font>
      <sz val="12"/>
      <color theme="1"/>
      <name val="Arial"/>
      <family val="2"/>
      <scheme val="minor"/>
    </font>
    <font>
      <sz val="14"/>
      <color theme="1"/>
      <name val="Arial"/>
      <family val="2"/>
      <scheme val="minor"/>
    </font>
    <font>
      <sz val="11"/>
      <color indexed="8"/>
      <name val="Arial"/>
      <family val="2"/>
    </font>
    <font>
      <sz val="11"/>
      <color theme="1"/>
      <name val="Arial"/>
      <family val="2"/>
    </font>
    <font>
      <b/>
      <sz val="14"/>
      <color theme="0"/>
      <name val="Arial"/>
      <family val="2"/>
      <scheme val="minor"/>
    </font>
    <font>
      <b/>
      <i/>
      <sz val="10"/>
      <color theme="0"/>
      <name val="Arial"/>
      <family val="2"/>
      <scheme val="minor"/>
    </font>
    <font>
      <b/>
      <i/>
      <sz val="10"/>
      <color theme="1"/>
      <name val="Arial"/>
      <family val="2"/>
      <scheme val="minor"/>
    </font>
    <font>
      <b/>
      <i/>
      <sz val="10"/>
      <name val="Arial"/>
      <family val="2"/>
      <scheme val="minor"/>
    </font>
    <font>
      <b/>
      <sz val="10"/>
      <name val="Arial"/>
      <family val="2"/>
      <scheme val="minor"/>
    </font>
    <font>
      <sz val="10"/>
      <name val="Arial"/>
      <family val="2"/>
      <scheme val="minor"/>
    </font>
    <font>
      <b/>
      <sz val="10"/>
      <color theme="0"/>
      <name val="Arial"/>
      <family val="2"/>
      <scheme val="minor"/>
    </font>
    <font>
      <i/>
      <sz val="10"/>
      <color theme="1"/>
      <name val="Arial"/>
      <family val="2"/>
      <scheme val="minor"/>
    </font>
    <font>
      <b/>
      <i/>
      <sz val="18"/>
      <color theme="0"/>
      <name val="Arial"/>
      <family val="2"/>
      <scheme val="minor"/>
    </font>
    <font>
      <b/>
      <i/>
      <sz val="14"/>
      <color theme="1"/>
      <name val="Arial"/>
      <family val="2"/>
      <scheme val="minor"/>
    </font>
    <font>
      <b/>
      <i/>
      <sz val="10.5"/>
      <color theme="1"/>
      <name val="Arial"/>
      <family val="2"/>
      <scheme val="minor"/>
    </font>
    <font>
      <b/>
      <sz val="12"/>
      <color theme="2"/>
      <name val="Arial"/>
      <family val="2"/>
      <scheme val="minor"/>
    </font>
    <font>
      <sz val="11"/>
      <color rgb="FF353737"/>
      <name val="Arial"/>
      <family val="2"/>
      <scheme val="minor"/>
    </font>
    <font>
      <b/>
      <i/>
      <sz val="18"/>
      <color theme="1"/>
      <name val="Arial"/>
      <family val="2"/>
      <scheme val="minor"/>
    </font>
    <font>
      <b/>
      <i/>
      <u/>
      <sz val="12"/>
      <color theme="0"/>
      <name val="Arial"/>
      <family val="2"/>
      <scheme val="minor"/>
    </font>
    <font>
      <sz val="11"/>
      <color theme="8"/>
      <name val="Arial"/>
      <family val="2"/>
      <scheme val="minor"/>
    </font>
    <font>
      <sz val="10"/>
      <color rgb="FF000000"/>
      <name val="Arial"/>
      <family val="2"/>
    </font>
    <font>
      <b/>
      <sz val="12"/>
      <color theme="9"/>
      <name val="Arial"/>
      <family val="2"/>
      <scheme val="minor"/>
    </font>
    <font>
      <b/>
      <i/>
      <u/>
      <sz val="11"/>
      <color theme="1"/>
      <name val="Arial"/>
      <family val="2"/>
      <scheme val="minor"/>
    </font>
    <font>
      <sz val="11"/>
      <color rgb="FF78B832"/>
      <name val="Arial"/>
      <family val="2"/>
      <scheme val="minor"/>
    </font>
    <font>
      <b/>
      <sz val="12"/>
      <color rgb="FFE36F1E"/>
      <name val="Arial"/>
      <family val="2"/>
      <scheme val="minor"/>
    </font>
    <font>
      <b/>
      <sz val="12"/>
      <color rgb="FF2B5A71"/>
      <name val="Arial"/>
      <family val="2"/>
      <scheme val="minor"/>
    </font>
    <font>
      <b/>
      <sz val="12"/>
      <color rgb="FFCCA640"/>
      <name val="Arial"/>
      <family val="2"/>
      <scheme val="minor"/>
    </font>
    <font>
      <b/>
      <sz val="12"/>
      <color rgb="FF4F8FAB"/>
      <name val="Arial"/>
      <family val="2"/>
      <scheme val="minor"/>
    </font>
    <font>
      <b/>
      <sz val="12"/>
      <color rgb="FF7AC143"/>
      <name val="Arial"/>
      <family val="2"/>
      <scheme val="minor"/>
    </font>
    <font>
      <u/>
      <sz val="10"/>
      <color theme="10"/>
      <name val="Arial"/>
      <family val="2"/>
      <scheme val="minor"/>
    </font>
    <font>
      <b/>
      <sz val="11"/>
      <color rgb="FFC8E6B3"/>
      <name val="Arial"/>
      <family val="2"/>
      <scheme val="minor"/>
    </font>
    <font>
      <b/>
      <i/>
      <sz val="11.5"/>
      <color theme="0"/>
      <name val="Arial"/>
      <family val="2"/>
      <scheme val="minor"/>
    </font>
    <font>
      <i/>
      <sz val="8"/>
      <color theme="1"/>
      <name val="Arial"/>
      <family val="2"/>
      <scheme val="minor"/>
    </font>
  </fonts>
  <fills count="19">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bgColor indexed="64"/>
      </patternFill>
    </fill>
    <fill>
      <patternFill patternType="solid">
        <fgColor rgb="FF78B832"/>
        <bgColor indexed="64"/>
      </patternFill>
    </fill>
    <fill>
      <patternFill patternType="solid">
        <fgColor theme="0"/>
        <bgColor indexed="64"/>
      </patternFill>
    </fill>
    <fill>
      <patternFill patternType="solid">
        <fgColor rgb="FF353735"/>
        <bgColor indexed="64"/>
      </patternFill>
    </fill>
    <fill>
      <patternFill patternType="solid">
        <fgColor rgb="FF353737"/>
        <bgColor indexed="64"/>
      </patternFill>
    </fill>
    <fill>
      <patternFill patternType="solid">
        <fgColor rgb="FFC8E6B3"/>
        <bgColor indexed="64"/>
      </patternFill>
    </fill>
    <fill>
      <patternFill patternType="solid">
        <fgColor rgb="FF93D050"/>
        <bgColor indexed="64"/>
      </patternFill>
    </fill>
    <fill>
      <patternFill patternType="solid">
        <fgColor theme="6" tint="0.79998168889431442"/>
        <bgColor indexed="64"/>
      </patternFill>
    </fill>
    <fill>
      <patternFill patternType="solid">
        <fgColor rgb="FFFFFFFF"/>
        <bgColor indexed="64"/>
      </patternFill>
    </fill>
    <fill>
      <patternFill patternType="solid">
        <fgColor rgb="FF7AC143"/>
        <bgColor indexed="64"/>
      </patternFill>
    </fill>
    <fill>
      <patternFill patternType="solid">
        <fgColor rgb="FF4F8FAB"/>
        <bgColor indexed="64"/>
      </patternFill>
    </fill>
    <fill>
      <patternFill patternType="solid">
        <fgColor rgb="FFCCA640"/>
        <bgColor indexed="64"/>
      </patternFill>
    </fill>
    <fill>
      <patternFill patternType="solid">
        <fgColor rgb="FF2B5A71"/>
        <bgColor indexed="64"/>
      </patternFill>
    </fill>
    <fill>
      <patternFill patternType="solid">
        <fgColor rgb="FFE36F1E"/>
        <bgColor indexed="64"/>
      </patternFill>
    </fill>
  </fills>
  <borders count="124">
    <border>
      <left/>
      <right/>
      <top/>
      <bottom/>
      <diagonal/>
    </border>
    <border>
      <left style="thin">
        <color theme="4"/>
      </left>
      <right/>
      <top style="thin">
        <color theme="4"/>
      </top>
      <bottom/>
      <diagonal/>
    </border>
    <border>
      <left/>
      <right style="thin">
        <color theme="4"/>
      </right>
      <top style="thin">
        <color theme="4"/>
      </top>
      <bottom/>
      <diagonal/>
    </border>
    <border>
      <left style="thin">
        <color theme="9"/>
      </left>
      <right/>
      <top style="thin">
        <color theme="9"/>
      </top>
      <bottom/>
      <diagonal/>
    </border>
    <border>
      <left/>
      <right style="thin">
        <color theme="9"/>
      </right>
      <top style="thin">
        <color theme="9"/>
      </top>
      <bottom/>
      <diagonal/>
    </border>
    <border>
      <left style="thin">
        <color theme="9"/>
      </left>
      <right style="hair">
        <color theme="0" tint="-0.24994659260841701"/>
      </right>
      <top/>
      <bottom style="hair">
        <color theme="0" tint="-0.24994659260841701"/>
      </bottom>
      <diagonal/>
    </border>
    <border>
      <left style="hair">
        <color theme="0" tint="-0.24994659260841701"/>
      </left>
      <right style="thin">
        <color theme="9"/>
      </right>
      <top/>
      <bottom style="hair">
        <color theme="0" tint="-0.24994659260841701"/>
      </bottom>
      <diagonal/>
    </border>
    <border>
      <left style="thin">
        <color theme="9"/>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9"/>
      </right>
      <top style="hair">
        <color theme="0" tint="-0.24994659260841701"/>
      </top>
      <bottom style="hair">
        <color theme="0" tint="-0.24994659260841701"/>
      </bottom>
      <diagonal/>
    </border>
    <border>
      <left style="thin">
        <color theme="9"/>
      </left>
      <right style="hair">
        <color theme="0" tint="-0.24994659260841701"/>
      </right>
      <top style="hair">
        <color theme="0" tint="-0.24994659260841701"/>
      </top>
      <bottom style="thin">
        <color theme="9"/>
      </bottom>
      <diagonal/>
    </border>
    <border>
      <left style="hair">
        <color theme="0" tint="-0.24994659260841701"/>
      </left>
      <right style="thin">
        <color theme="9"/>
      </right>
      <top style="hair">
        <color theme="0" tint="-0.24994659260841701"/>
      </top>
      <bottom style="thin">
        <color theme="9"/>
      </bottom>
      <diagonal/>
    </border>
    <border>
      <left style="thin">
        <color rgb="FFC8E6B3"/>
      </left>
      <right/>
      <top style="thin">
        <color rgb="FFC8E6B3"/>
      </top>
      <bottom/>
      <diagonal/>
    </border>
    <border>
      <left/>
      <right style="thin">
        <color rgb="FFC8E6B3"/>
      </right>
      <top style="thin">
        <color rgb="FFC8E6B3"/>
      </top>
      <bottom/>
      <diagonal/>
    </border>
    <border>
      <left style="thin">
        <color rgb="FFC8E6B3"/>
      </left>
      <right style="hair">
        <color theme="0" tint="-0.24994659260841701"/>
      </right>
      <top/>
      <bottom style="hair">
        <color theme="0" tint="-0.24994659260841701"/>
      </bottom>
      <diagonal/>
    </border>
    <border>
      <left style="hair">
        <color theme="0" tint="-0.24994659260841701"/>
      </left>
      <right style="thin">
        <color rgb="FFC8E6B3"/>
      </right>
      <top/>
      <bottom style="hair">
        <color theme="0" tint="-0.24994659260841701"/>
      </bottom>
      <diagonal/>
    </border>
    <border>
      <left style="thin">
        <color rgb="FFC8E6B3"/>
      </left>
      <right style="hair">
        <color theme="0" tint="-0.24994659260841701"/>
      </right>
      <top style="hair">
        <color theme="0" tint="-0.24994659260841701"/>
      </top>
      <bottom style="hair">
        <color theme="0" tint="-0.24994659260841701"/>
      </bottom>
      <diagonal/>
    </border>
    <border>
      <left style="hair">
        <color theme="0" tint="-0.24994659260841701"/>
      </left>
      <right style="thin">
        <color rgb="FFC8E6B3"/>
      </right>
      <top style="hair">
        <color theme="0" tint="-0.24994659260841701"/>
      </top>
      <bottom style="hair">
        <color theme="0" tint="-0.24994659260841701"/>
      </bottom>
      <diagonal/>
    </border>
    <border>
      <left style="thin">
        <color rgb="FFC8E6B3"/>
      </left>
      <right style="hair">
        <color theme="0" tint="-0.24994659260841701"/>
      </right>
      <top style="hair">
        <color theme="0" tint="-0.24994659260841701"/>
      </top>
      <bottom style="thin">
        <color rgb="FFC8E6B3"/>
      </bottom>
      <diagonal/>
    </border>
    <border>
      <left style="hair">
        <color theme="0" tint="-0.24994659260841701"/>
      </left>
      <right style="thin">
        <color rgb="FFC8E6B3"/>
      </right>
      <top style="hair">
        <color theme="0" tint="-0.24994659260841701"/>
      </top>
      <bottom style="thin">
        <color rgb="FFC8E6B3"/>
      </bottom>
      <diagonal/>
    </border>
    <border>
      <left style="thin">
        <color rgb="FFC8E6B3"/>
      </left>
      <right style="hair">
        <color theme="0" tint="-0.24994659260841701"/>
      </right>
      <top style="thin">
        <color rgb="FFC8E6B3"/>
      </top>
      <bottom style="hair">
        <color theme="0" tint="-0.24994659260841701"/>
      </bottom>
      <diagonal/>
    </border>
    <border>
      <left style="hair">
        <color theme="0" tint="-0.24994659260841701"/>
      </left>
      <right style="thin">
        <color rgb="FFC8E6B3"/>
      </right>
      <top style="thin">
        <color rgb="FFC8E6B3"/>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rgb="FFC8E6B3"/>
      </left>
      <right style="thin">
        <color rgb="FFC8E6B3"/>
      </right>
      <top style="thin">
        <color rgb="FFC8E6B3"/>
      </top>
      <bottom style="thin">
        <color rgb="FFC8E6B3"/>
      </bottom>
      <diagonal/>
    </border>
    <border>
      <left style="hair">
        <color theme="0" tint="-0.24994659260841701"/>
      </left>
      <right style="hair">
        <color theme="0" tint="-0.24994659260841701"/>
      </right>
      <top style="thin">
        <color rgb="FFC8E6B3"/>
      </top>
      <bottom style="hair">
        <color theme="0" tint="-0.24994659260841701"/>
      </bottom>
      <diagonal/>
    </border>
    <border>
      <left style="hair">
        <color theme="0" tint="-0.24994659260841701"/>
      </left>
      <right style="hair">
        <color theme="0" tint="-0.24994659260841701"/>
      </right>
      <top style="hair">
        <color theme="0" tint="-0.24994659260841701"/>
      </top>
      <bottom style="thin">
        <color rgb="FFC8E6B3"/>
      </bottom>
      <diagonal/>
    </border>
    <border>
      <left style="thin">
        <color rgb="FFC8E6B3"/>
      </left>
      <right style="hair">
        <color theme="0" tint="-0.24994659260841701"/>
      </right>
      <top style="thin">
        <color rgb="FFC8E6B3"/>
      </top>
      <bottom style="thin">
        <color rgb="FFC8E6B3"/>
      </bottom>
      <diagonal/>
    </border>
    <border>
      <left style="hair">
        <color theme="0" tint="-0.24994659260841701"/>
      </left>
      <right style="thin">
        <color rgb="FFC8E6B3"/>
      </right>
      <top style="thin">
        <color rgb="FFC8E6B3"/>
      </top>
      <bottom style="thin">
        <color rgb="FFC8E6B3"/>
      </bottom>
      <diagonal/>
    </border>
    <border>
      <left style="thin">
        <color rgb="FFC8E6B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C8E6B3"/>
      </right>
      <top style="thin">
        <color theme="0" tint="-0.24994659260841701"/>
      </top>
      <bottom style="thin">
        <color theme="0" tint="-0.24994659260841701"/>
      </bottom>
      <diagonal/>
    </border>
    <border>
      <left style="thin">
        <color rgb="FFC8E6B3"/>
      </left>
      <right style="thin">
        <color theme="0" tint="-0.24994659260841701"/>
      </right>
      <top style="thin">
        <color theme="0" tint="-0.24994659260841701"/>
      </top>
      <bottom style="thin">
        <color rgb="FFC8E6B3"/>
      </bottom>
      <diagonal/>
    </border>
    <border>
      <left style="thin">
        <color theme="0" tint="-0.24994659260841701"/>
      </left>
      <right style="thin">
        <color rgb="FFC8E6B3"/>
      </right>
      <top style="thin">
        <color theme="0" tint="-0.24994659260841701"/>
      </top>
      <bottom style="thin">
        <color rgb="FFC8E6B3"/>
      </bottom>
      <diagonal/>
    </border>
    <border>
      <left style="hair">
        <color rgb="FFC8E6B3"/>
      </left>
      <right/>
      <top style="hair">
        <color rgb="FFC8E6B3"/>
      </top>
      <bottom/>
      <diagonal/>
    </border>
    <border>
      <left/>
      <right style="hair">
        <color rgb="FFC8E6B3"/>
      </right>
      <top style="hair">
        <color rgb="FFC8E6B3"/>
      </top>
      <bottom/>
      <diagonal/>
    </border>
    <border>
      <left style="hair">
        <color rgb="FFC8E6B3"/>
      </left>
      <right style="hair">
        <color theme="0" tint="-0.24994659260841701"/>
      </right>
      <top style="hair">
        <color theme="0" tint="-0.24994659260841701"/>
      </top>
      <bottom style="hair">
        <color theme="0" tint="-0.24994659260841701"/>
      </bottom>
      <diagonal/>
    </border>
    <border>
      <left style="hair">
        <color theme="0" tint="-0.24994659260841701"/>
      </left>
      <right style="hair">
        <color rgb="FFC8E6B3"/>
      </right>
      <top style="hair">
        <color theme="0" tint="-0.24994659260841701"/>
      </top>
      <bottom style="hair">
        <color theme="0" tint="-0.24994659260841701"/>
      </bottom>
      <diagonal/>
    </border>
    <border>
      <left style="hair">
        <color rgb="FFC8E6B3"/>
      </left>
      <right style="hair">
        <color theme="0" tint="-0.24994659260841701"/>
      </right>
      <top style="hair">
        <color theme="0" tint="-0.24994659260841701"/>
      </top>
      <bottom style="hair">
        <color rgb="FFC8E6B3"/>
      </bottom>
      <diagonal/>
    </border>
    <border>
      <left style="hair">
        <color theme="0" tint="-0.24994659260841701"/>
      </left>
      <right style="hair">
        <color rgb="FFC8E6B3"/>
      </right>
      <top style="hair">
        <color theme="0" tint="-0.24994659260841701"/>
      </top>
      <bottom style="hair">
        <color rgb="FFC8E6B3"/>
      </bottom>
      <diagonal/>
    </border>
    <border>
      <left style="thin">
        <color rgb="FFC8E6B3"/>
      </left>
      <right/>
      <top style="thin">
        <color rgb="FFC8E6B3"/>
      </top>
      <bottom style="thin">
        <color rgb="FFC8E6B3"/>
      </bottom>
      <diagonal/>
    </border>
    <border>
      <left/>
      <right style="thin">
        <color rgb="FFC8E6B3"/>
      </right>
      <top style="thin">
        <color rgb="FFC8E6B3"/>
      </top>
      <bottom style="thin">
        <color rgb="FFC8E6B3"/>
      </bottom>
      <diagonal/>
    </border>
    <border>
      <left style="thin">
        <color rgb="FFC8E6B3"/>
      </left>
      <right/>
      <top/>
      <bottom style="hair">
        <color theme="0" tint="-0.24994659260841701"/>
      </bottom>
      <diagonal/>
    </border>
    <border>
      <left/>
      <right/>
      <top/>
      <bottom style="hair">
        <color theme="0" tint="-0.24994659260841701"/>
      </bottom>
      <diagonal/>
    </border>
    <border>
      <left/>
      <right style="thin">
        <color rgb="FFC8E6B3"/>
      </right>
      <top/>
      <bottom style="hair">
        <color theme="0" tint="-0.24994659260841701"/>
      </bottom>
      <diagonal/>
    </border>
    <border>
      <left style="thin">
        <color rgb="FFC8E6B3"/>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thin">
        <color rgb="FFC8E6B3"/>
      </left>
      <right/>
      <top style="hair">
        <color theme="0" tint="-0.24994659260841701"/>
      </top>
      <bottom style="thin">
        <color rgb="FFC8E6B3"/>
      </bottom>
      <diagonal/>
    </border>
    <border>
      <left/>
      <right/>
      <top style="hair">
        <color theme="0" tint="-0.24994659260841701"/>
      </top>
      <bottom style="thin">
        <color rgb="FFC8E6B3"/>
      </bottom>
      <diagonal/>
    </border>
    <border>
      <left/>
      <right style="thin">
        <color rgb="FFC8E6B3"/>
      </right>
      <top style="hair">
        <color theme="0" tint="-0.24994659260841701"/>
      </top>
      <bottom style="thin">
        <color rgb="FFC8E6B3"/>
      </bottom>
      <diagonal/>
    </border>
    <border>
      <left/>
      <right/>
      <top style="thin">
        <color rgb="FFC8E6B3"/>
      </top>
      <bottom style="thin">
        <color rgb="FFC8E6B3"/>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style="hair">
        <color theme="0" tint="-0.24994659260841701"/>
      </top>
      <bottom style="hair">
        <color rgb="FFC8E6B3"/>
      </bottom>
      <diagonal/>
    </border>
    <border>
      <left style="hair">
        <color rgb="FFC8E6B3"/>
      </left>
      <right style="hair">
        <color theme="0" tint="-0.24994659260841701"/>
      </right>
      <top/>
      <bottom style="hair">
        <color theme="0" tint="-0.24994659260841701"/>
      </bottom>
      <diagonal/>
    </border>
    <border>
      <left style="hair">
        <color theme="0" tint="-0.24994659260841701"/>
      </left>
      <right style="hair">
        <color rgb="FFC8E6B3"/>
      </right>
      <top/>
      <bottom style="hair">
        <color theme="0" tint="-0.24994659260841701"/>
      </bottom>
      <diagonal/>
    </border>
    <border>
      <left/>
      <right/>
      <top style="hair">
        <color rgb="FFA5A5A5"/>
      </top>
      <bottom style="hair">
        <color rgb="FFA5A5A5"/>
      </bottom>
      <diagonal/>
    </border>
    <border>
      <left/>
      <right/>
      <top/>
      <bottom style="hair">
        <color rgb="FFA5A5A5"/>
      </bottom>
      <diagonal/>
    </border>
    <border>
      <left style="thin">
        <color theme="4"/>
      </left>
      <right/>
      <top/>
      <bottom style="hair">
        <color theme="0" tint="-0.24994659260841701"/>
      </bottom>
      <diagonal/>
    </border>
    <border>
      <left style="thin">
        <color rgb="FFFFFFFF"/>
      </left>
      <right/>
      <top/>
      <bottom/>
      <diagonal/>
    </border>
    <border>
      <left style="thin">
        <color theme="4"/>
      </left>
      <right/>
      <top style="hair">
        <color theme="0" tint="-0.24994659260841701"/>
      </top>
      <bottom style="thin">
        <color theme="4"/>
      </bottom>
      <diagonal/>
    </border>
    <border>
      <left style="thin">
        <color rgb="FFD0CECE"/>
      </left>
      <right style="thin">
        <color theme="4"/>
      </right>
      <top/>
      <bottom style="hair">
        <color theme="0" tint="-0.24994659260841701"/>
      </bottom>
      <diagonal/>
    </border>
    <border>
      <left style="thin">
        <color rgb="FFD0CECE"/>
      </left>
      <right style="thin">
        <color theme="4"/>
      </right>
      <top style="hair">
        <color theme="0" tint="-0.24994659260841701"/>
      </top>
      <bottom style="thin">
        <color theme="4"/>
      </bottom>
      <diagonal/>
    </border>
    <border>
      <left style="thin">
        <color rgb="FF7AC143"/>
      </left>
      <right/>
      <top style="thin">
        <color rgb="FF7AC143"/>
      </top>
      <bottom/>
      <diagonal/>
    </border>
    <border>
      <left/>
      <right style="thin">
        <color rgb="FF7AC143"/>
      </right>
      <top style="thin">
        <color rgb="FF7AC143"/>
      </top>
      <bottom/>
      <diagonal/>
    </border>
    <border>
      <left style="thin">
        <color rgb="FF7AC143"/>
      </left>
      <right style="hair">
        <color theme="0" tint="-0.24994659260841701"/>
      </right>
      <top/>
      <bottom style="hair">
        <color theme="0" tint="-0.24994659260841701"/>
      </bottom>
      <diagonal/>
    </border>
    <border>
      <left style="hair">
        <color theme="0" tint="-0.24994659260841701"/>
      </left>
      <right style="thin">
        <color rgb="FF7AC143"/>
      </right>
      <top/>
      <bottom style="hair">
        <color theme="0" tint="-0.24994659260841701"/>
      </bottom>
      <diagonal/>
    </border>
    <border>
      <left style="thin">
        <color rgb="FF7AC143"/>
      </left>
      <right style="hair">
        <color theme="0" tint="-0.24994659260841701"/>
      </right>
      <top style="hair">
        <color theme="0" tint="-0.24994659260841701"/>
      </top>
      <bottom style="hair">
        <color theme="0" tint="-0.24994659260841701"/>
      </bottom>
      <diagonal/>
    </border>
    <border>
      <left style="hair">
        <color theme="0" tint="-0.24994659260841701"/>
      </left>
      <right style="thin">
        <color rgb="FF7AC143"/>
      </right>
      <top style="hair">
        <color theme="0" tint="-0.24994659260841701"/>
      </top>
      <bottom style="hair">
        <color theme="0" tint="-0.24994659260841701"/>
      </bottom>
      <diagonal/>
    </border>
    <border>
      <left style="thin">
        <color rgb="FF7AC143"/>
      </left>
      <right style="hair">
        <color theme="0" tint="-0.24994659260841701"/>
      </right>
      <top style="hair">
        <color theme="0" tint="-0.24994659260841701"/>
      </top>
      <bottom style="thin">
        <color rgb="FF7AC143"/>
      </bottom>
      <diagonal/>
    </border>
    <border>
      <left style="hair">
        <color theme="0" tint="-0.24994659260841701"/>
      </left>
      <right style="thin">
        <color rgb="FF7AC143"/>
      </right>
      <top style="hair">
        <color theme="0" tint="-0.24994659260841701"/>
      </top>
      <bottom style="thin">
        <color rgb="FF7AC143"/>
      </bottom>
      <diagonal/>
    </border>
    <border>
      <left style="thin">
        <color rgb="FF2B5A71"/>
      </left>
      <right/>
      <top style="thin">
        <color rgb="FF2B5A71"/>
      </top>
      <bottom/>
      <diagonal/>
    </border>
    <border>
      <left/>
      <right style="thin">
        <color rgb="FF2B5A71"/>
      </right>
      <top style="thin">
        <color rgb="FF2B5A71"/>
      </top>
      <bottom/>
      <diagonal/>
    </border>
    <border>
      <left style="thin">
        <color rgb="FF2B5A71"/>
      </left>
      <right style="hair">
        <color theme="0" tint="-0.24994659260841701"/>
      </right>
      <top/>
      <bottom style="hair">
        <color theme="0" tint="-0.24994659260841701"/>
      </bottom>
      <diagonal/>
    </border>
    <border>
      <left style="hair">
        <color theme="0" tint="-0.24994659260841701"/>
      </left>
      <right style="thin">
        <color rgb="FF2B5A71"/>
      </right>
      <top/>
      <bottom style="hair">
        <color theme="0" tint="-0.24994659260841701"/>
      </bottom>
      <diagonal/>
    </border>
    <border>
      <left style="thin">
        <color rgb="FF2B5A7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rgb="FF2B5A71"/>
      </right>
      <top style="hair">
        <color theme="0" tint="-0.24994659260841701"/>
      </top>
      <bottom style="hair">
        <color theme="0" tint="-0.24994659260841701"/>
      </bottom>
      <diagonal/>
    </border>
    <border>
      <left style="thin">
        <color rgb="FF2B5A71"/>
      </left>
      <right style="hair">
        <color theme="0" tint="-0.24994659260841701"/>
      </right>
      <top style="hair">
        <color theme="0" tint="-0.24994659260841701"/>
      </top>
      <bottom style="thin">
        <color rgb="FF2B5A71"/>
      </bottom>
      <diagonal/>
    </border>
    <border>
      <left style="hair">
        <color theme="0" tint="-0.24994659260841701"/>
      </left>
      <right style="thin">
        <color rgb="FF2B5A71"/>
      </right>
      <top style="hair">
        <color theme="0" tint="-0.24994659260841701"/>
      </top>
      <bottom style="thin">
        <color rgb="FF2B5A71"/>
      </bottom>
      <diagonal/>
    </border>
    <border>
      <left style="thin">
        <color rgb="FF4F8FAB"/>
      </left>
      <right/>
      <top style="thin">
        <color rgb="FF4F8FAB"/>
      </top>
      <bottom/>
      <diagonal/>
    </border>
    <border>
      <left/>
      <right style="thin">
        <color rgb="FF4F8FAB"/>
      </right>
      <top style="thin">
        <color rgb="FF4F8FAB"/>
      </top>
      <bottom/>
      <diagonal/>
    </border>
    <border>
      <left style="thin">
        <color rgb="FF4F8FAB"/>
      </left>
      <right style="hair">
        <color theme="0" tint="-0.24994659260841701"/>
      </right>
      <top/>
      <bottom style="hair">
        <color theme="0" tint="-0.24994659260841701"/>
      </bottom>
      <diagonal/>
    </border>
    <border>
      <left style="hair">
        <color theme="0" tint="-0.24994659260841701"/>
      </left>
      <right style="thin">
        <color rgb="FF4F8FAB"/>
      </right>
      <top/>
      <bottom style="hair">
        <color theme="0" tint="-0.24994659260841701"/>
      </bottom>
      <diagonal/>
    </border>
    <border>
      <left style="thin">
        <color rgb="FF4F8FAB"/>
      </left>
      <right style="hair">
        <color theme="0" tint="-0.24994659260841701"/>
      </right>
      <top style="hair">
        <color theme="0" tint="-0.24994659260841701"/>
      </top>
      <bottom style="hair">
        <color theme="0" tint="-0.24994659260841701"/>
      </bottom>
      <diagonal/>
    </border>
    <border>
      <left style="hair">
        <color theme="0" tint="-0.24994659260841701"/>
      </left>
      <right style="thin">
        <color rgb="FF4F8FAB"/>
      </right>
      <top style="hair">
        <color theme="0" tint="-0.24994659260841701"/>
      </top>
      <bottom style="hair">
        <color theme="0" tint="-0.24994659260841701"/>
      </bottom>
      <diagonal/>
    </border>
    <border>
      <left style="thin">
        <color rgb="FF4F8FAB"/>
      </left>
      <right style="hair">
        <color theme="0" tint="-0.24994659260841701"/>
      </right>
      <top style="hair">
        <color theme="0" tint="-0.24994659260841701"/>
      </top>
      <bottom style="thin">
        <color rgb="FF4F8FAB"/>
      </bottom>
      <diagonal/>
    </border>
    <border>
      <left style="hair">
        <color theme="0" tint="-0.24994659260841701"/>
      </left>
      <right style="thin">
        <color rgb="FF4F8FAB"/>
      </right>
      <top style="hair">
        <color theme="0" tint="-0.24994659260841701"/>
      </top>
      <bottom style="thin">
        <color rgb="FF4F8FAB"/>
      </bottom>
      <diagonal/>
    </border>
    <border>
      <left style="thin">
        <color rgb="FFCCA640"/>
      </left>
      <right/>
      <top style="thin">
        <color rgb="FFCCA640"/>
      </top>
      <bottom/>
      <diagonal/>
    </border>
    <border>
      <left/>
      <right style="thin">
        <color rgb="FFCCA640"/>
      </right>
      <top style="thin">
        <color rgb="FFCCA640"/>
      </top>
      <bottom/>
      <diagonal/>
    </border>
    <border>
      <left style="thin">
        <color rgb="FFCCA640"/>
      </left>
      <right style="hair">
        <color theme="0" tint="-0.24994659260841701"/>
      </right>
      <top/>
      <bottom style="hair">
        <color theme="0" tint="-0.24994659260841701"/>
      </bottom>
      <diagonal/>
    </border>
    <border>
      <left style="hair">
        <color theme="0" tint="-0.24994659260841701"/>
      </left>
      <right style="thin">
        <color rgb="FFCCA640"/>
      </right>
      <top/>
      <bottom style="hair">
        <color theme="0" tint="-0.24994659260841701"/>
      </bottom>
      <diagonal/>
    </border>
    <border>
      <left style="thin">
        <color rgb="FFCCA640"/>
      </left>
      <right style="hair">
        <color theme="0" tint="-0.24994659260841701"/>
      </right>
      <top style="hair">
        <color theme="0" tint="-0.24994659260841701"/>
      </top>
      <bottom style="hair">
        <color theme="0" tint="-0.24994659260841701"/>
      </bottom>
      <diagonal/>
    </border>
    <border>
      <left style="hair">
        <color theme="0" tint="-0.24994659260841701"/>
      </left>
      <right style="thin">
        <color rgb="FFCCA640"/>
      </right>
      <top style="hair">
        <color theme="0" tint="-0.24994659260841701"/>
      </top>
      <bottom style="hair">
        <color theme="0" tint="-0.24994659260841701"/>
      </bottom>
      <diagonal/>
    </border>
    <border>
      <left style="thin">
        <color rgb="FFCCA640"/>
      </left>
      <right style="hair">
        <color theme="0" tint="-0.24994659260841701"/>
      </right>
      <top style="hair">
        <color theme="0" tint="-0.24994659260841701"/>
      </top>
      <bottom style="thin">
        <color rgb="FFCCA640"/>
      </bottom>
      <diagonal/>
    </border>
    <border>
      <left style="hair">
        <color theme="0" tint="-0.24994659260841701"/>
      </left>
      <right style="thin">
        <color rgb="FFCCA640"/>
      </right>
      <top style="hair">
        <color theme="0" tint="-0.24994659260841701"/>
      </top>
      <bottom style="thin">
        <color rgb="FFCCA640"/>
      </bottom>
      <diagonal/>
    </border>
    <border>
      <left style="thin">
        <color rgb="FF78B832"/>
      </left>
      <right/>
      <top style="thin">
        <color rgb="FF78B832"/>
      </top>
      <bottom/>
      <diagonal/>
    </border>
    <border>
      <left/>
      <right style="thin">
        <color rgb="FF78B832"/>
      </right>
      <top style="thin">
        <color rgb="FF78B832"/>
      </top>
      <bottom/>
      <diagonal/>
    </border>
    <border>
      <left style="thin">
        <color rgb="FF78B832"/>
      </left>
      <right style="hair">
        <color theme="0" tint="-0.24994659260841701"/>
      </right>
      <top/>
      <bottom style="hair">
        <color theme="0" tint="-0.24994659260841701"/>
      </bottom>
      <diagonal/>
    </border>
    <border>
      <left style="hair">
        <color theme="0" tint="-0.24994659260841701"/>
      </left>
      <right style="thin">
        <color rgb="FF78B832"/>
      </right>
      <top/>
      <bottom style="hair">
        <color theme="0" tint="-0.24994659260841701"/>
      </bottom>
      <diagonal/>
    </border>
    <border>
      <left style="thin">
        <color rgb="FF78B832"/>
      </left>
      <right style="hair">
        <color theme="0" tint="-0.24994659260841701"/>
      </right>
      <top style="hair">
        <color theme="0" tint="-0.24994659260841701"/>
      </top>
      <bottom style="hair">
        <color theme="0" tint="-0.24994659260841701"/>
      </bottom>
      <diagonal/>
    </border>
    <border>
      <left style="hair">
        <color theme="0" tint="-0.24994659260841701"/>
      </left>
      <right style="thin">
        <color rgb="FF78B832"/>
      </right>
      <top style="hair">
        <color theme="0" tint="-0.24994659260841701"/>
      </top>
      <bottom style="hair">
        <color theme="0" tint="-0.24994659260841701"/>
      </bottom>
      <diagonal/>
    </border>
    <border>
      <left style="thin">
        <color rgb="FF78B832"/>
      </left>
      <right style="hair">
        <color theme="0" tint="-0.24994659260841701"/>
      </right>
      <top style="hair">
        <color theme="0" tint="-0.24994659260841701"/>
      </top>
      <bottom style="thin">
        <color rgb="FF78B832"/>
      </bottom>
      <diagonal/>
    </border>
    <border>
      <left style="hair">
        <color theme="0" tint="-0.24994659260841701"/>
      </left>
      <right style="thin">
        <color rgb="FF78B832"/>
      </right>
      <top style="hair">
        <color theme="0" tint="-0.24994659260841701"/>
      </top>
      <bottom style="thin">
        <color rgb="FF78B832"/>
      </bottom>
      <diagonal/>
    </border>
    <border>
      <left/>
      <right/>
      <top/>
      <bottom style="thin">
        <color theme="0"/>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hair">
        <color theme="0" tint="-0.24994659260841701"/>
      </left>
      <right/>
      <top style="thin">
        <color rgb="FFC8E6B3"/>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rgb="FFC8E6B3"/>
      </bottom>
      <diagonal/>
    </border>
    <border>
      <left style="thin">
        <color rgb="FFC8E6B3"/>
      </left>
      <right/>
      <top/>
      <bottom/>
      <diagonal/>
    </border>
    <border>
      <left style="hair">
        <color theme="0" tint="-0.249977111117893"/>
      </left>
      <right style="thin">
        <color rgb="FFC8E6B3"/>
      </right>
      <top/>
      <bottom style="thin">
        <color rgb="FFC8E6B3"/>
      </bottom>
      <diagonal/>
    </border>
    <border>
      <left style="hair">
        <color theme="0" tint="-0.249977111117893"/>
      </left>
      <right style="thin">
        <color rgb="FFC8E6B3"/>
      </right>
      <top/>
      <bottom style="hair">
        <color theme="0" tint="-0.249977111117893"/>
      </bottom>
      <diagonal/>
    </border>
    <border>
      <left style="thin">
        <color rgb="FFC8E6B3"/>
      </left>
      <right/>
      <top/>
      <bottom style="thin">
        <color rgb="FFC8E6B3"/>
      </bottom>
      <diagonal/>
    </border>
    <border>
      <left style="thin">
        <color rgb="FFC8E6B3"/>
      </left>
      <right style="thin">
        <color rgb="FFC8E6B3"/>
      </right>
      <top/>
      <bottom style="thin">
        <color rgb="FFC8E6B3"/>
      </bottom>
      <diagonal/>
    </border>
    <border>
      <left/>
      <right/>
      <top style="thin">
        <color rgb="FFC8E6B3"/>
      </top>
      <bottom/>
      <diagonal/>
    </border>
    <border>
      <left style="hair">
        <color theme="0" tint="-0.24994659260841701"/>
      </left>
      <right style="hair">
        <color theme="0" tint="-0.249977111117893"/>
      </right>
      <top style="thin">
        <color rgb="FFC8E6B3"/>
      </top>
      <bottom style="hair">
        <color theme="0" tint="-0.24994659260841701"/>
      </bottom>
      <diagonal/>
    </border>
    <border>
      <left style="hair">
        <color theme="0" tint="-0.249977111117893"/>
      </left>
      <right style="thin">
        <color rgb="FFC8E6B3"/>
      </right>
      <top style="hair">
        <color theme="0" tint="-0.249977111117893"/>
      </top>
      <bottom style="thin">
        <color rgb="FFC8E6B3"/>
      </bottom>
      <diagonal/>
    </border>
    <border>
      <left style="hair">
        <color theme="0" tint="-0.249977111117893"/>
      </left>
      <right style="thin">
        <color rgb="FFC8E6B3"/>
      </right>
      <top style="hair">
        <color theme="0" tint="-0.249977111117893"/>
      </top>
      <bottom style="hair">
        <color theme="0" tint="-0.249977111117893"/>
      </bottom>
      <diagonal/>
    </border>
    <border>
      <left style="thin">
        <color rgb="FF2B5A71"/>
      </left>
      <right style="hair">
        <color theme="0" tint="-0.24994659260841701"/>
      </right>
      <top style="hair">
        <color theme="0" tint="-0.24994659260841701"/>
      </top>
      <bottom style="thin">
        <color rgb="FF4F8FAB"/>
      </bottom>
      <diagonal/>
    </border>
    <border>
      <left style="hair">
        <color theme="0" tint="-0.24994659260841701"/>
      </left>
      <right style="thin">
        <color rgb="FF2B5A71"/>
      </right>
      <top style="hair">
        <color theme="0" tint="-0.24994659260841701"/>
      </top>
      <bottom style="thin">
        <color rgb="FF4F8FAB"/>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44" fontId="1" fillId="0" borderId="0" applyFont="0" applyFill="0" applyBorder="0" applyAlignment="0" applyProtection="0"/>
  </cellStyleXfs>
  <cellXfs count="715">
    <xf numFmtId="0" fontId="0" fillId="0" borderId="0" xfId="0"/>
    <xf numFmtId="0" fontId="2" fillId="0" borderId="0" xfId="0" applyFont="1"/>
    <xf numFmtId="0" fontId="3" fillId="0" borderId="0" xfId="0" applyFont="1"/>
    <xf numFmtId="0" fontId="6" fillId="0" borderId="0" xfId="0" applyFont="1"/>
    <xf numFmtId="0" fontId="5" fillId="0" borderId="0" xfId="0" applyFont="1"/>
    <xf numFmtId="9" fontId="6" fillId="0" borderId="0" xfId="1" applyFont="1" applyAlignment="1">
      <alignment horizontal="center" vertical="center"/>
    </xf>
    <xf numFmtId="0" fontId="4" fillId="0" borderId="0" xfId="0" applyFont="1" applyAlignment="1">
      <alignment horizontal="center" vertical="center"/>
    </xf>
    <xf numFmtId="0" fontId="4" fillId="0" borderId="0" xfId="0" applyFont="1"/>
    <xf numFmtId="0" fontId="4" fillId="0" borderId="0" xfId="0" applyFont="1" applyAlignment="1">
      <alignment horizontal="left" vertical="center"/>
    </xf>
    <xf numFmtId="0" fontId="4" fillId="0" borderId="0" xfId="0" applyFont="1" applyAlignment="1">
      <alignment horizontal="left"/>
    </xf>
    <xf numFmtId="0" fontId="8"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9" fillId="0" borderId="0" xfId="0" applyFont="1"/>
    <xf numFmtId="9" fontId="5" fillId="2" borderId="0" xfId="1" applyFont="1" applyFill="1" applyAlignment="1">
      <alignment horizontal="center" vertical="center"/>
    </xf>
    <xf numFmtId="9" fontId="5" fillId="0" borderId="0" xfId="1" applyFont="1" applyAlignment="1">
      <alignment horizontal="center" vertical="center"/>
    </xf>
    <xf numFmtId="0" fontId="15" fillId="0" borderId="0" xfId="0" applyFont="1"/>
    <xf numFmtId="0" fontId="9" fillId="2" borderId="0" xfId="0" applyFont="1" applyFill="1"/>
    <xf numFmtId="165" fontId="0" fillId="0" borderId="0" xfId="1" applyNumberFormat="1" applyFont="1" applyAlignment="1">
      <alignment horizontal="center"/>
    </xf>
    <xf numFmtId="9" fontId="0" fillId="0" borderId="0" xfId="1" applyFont="1" applyAlignment="1">
      <alignment horizontal="center" vertical="center"/>
    </xf>
    <xf numFmtId="0" fontId="0" fillId="2" borderId="0" xfId="0" applyFill="1" applyAlignment="1">
      <alignment horizontal="center" vertical="center"/>
    </xf>
    <xf numFmtId="9" fontId="0" fillId="2" borderId="0" xfId="1" applyFont="1" applyFill="1" applyAlignment="1">
      <alignment horizontal="center" vertical="center"/>
    </xf>
    <xf numFmtId="0" fontId="18" fillId="0" borderId="0" xfId="0" applyFont="1"/>
    <xf numFmtId="165" fontId="24" fillId="0" borderId="0" xfId="0" applyNumberFormat="1" applyFont="1"/>
    <xf numFmtId="0" fontId="7" fillId="0" borderId="0" xfId="0" applyFont="1"/>
    <xf numFmtId="0" fontId="6" fillId="0" borderId="0" xfId="0" applyFont="1" applyAlignment="1">
      <alignment horizontal="center" wrapText="1"/>
    </xf>
    <xf numFmtId="0" fontId="33" fillId="0" borderId="0" xfId="0" applyFont="1" applyAlignment="1">
      <alignment vertical="center"/>
    </xf>
    <xf numFmtId="0" fontId="32" fillId="0" borderId="0" xfId="0" applyFont="1" applyAlignment="1">
      <alignment vertical="center"/>
    </xf>
    <xf numFmtId="0" fontId="27" fillId="0" borderId="0" xfId="3"/>
    <xf numFmtId="0" fontId="0" fillId="0" borderId="0" xfId="0" applyAlignment="1">
      <alignment horizontal="left" vertical="top" wrapText="1"/>
    </xf>
    <xf numFmtId="0" fontId="0" fillId="6" borderId="0" xfId="0" applyFill="1"/>
    <xf numFmtId="0" fontId="0" fillId="7" borderId="0" xfId="0" applyFill="1"/>
    <xf numFmtId="0" fontId="5" fillId="7" borderId="0" xfId="0" applyFont="1" applyFill="1" applyAlignment="1">
      <alignment horizontal="left" indent="2"/>
    </xf>
    <xf numFmtId="0" fontId="0" fillId="8" borderId="0" xfId="0" applyFill="1"/>
    <xf numFmtId="0" fontId="42" fillId="3" borderId="0" xfId="0" applyFont="1" applyFill="1" applyAlignment="1">
      <alignment horizontal="left" vertical="center" indent="2"/>
    </xf>
    <xf numFmtId="0" fontId="28" fillId="7" borderId="0" xfId="0" applyFont="1" applyFill="1"/>
    <xf numFmtId="0" fontId="0" fillId="9" borderId="0" xfId="0" applyFill="1"/>
    <xf numFmtId="0" fontId="4" fillId="9" borderId="0" xfId="0" applyFont="1" applyFill="1"/>
    <xf numFmtId="0" fontId="4" fillId="7" borderId="0" xfId="0" applyFont="1" applyFill="1"/>
    <xf numFmtId="0" fontId="42" fillId="6" borderId="0" xfId="0" applyFont="1" applyFill="1" applyAlignment="1">
      <alignment horizontal="left" vertical="center" indent="2"/>
    </xf>
    <xf numFmtId="0" fontId="0" fillId="7" borderId="0" xfId="0" applyFill="1" applyAlignment="1">
      <alignment horizontal="left" indent="2"/>
    </xf>
    <xf numFmtId="0" fontId="14" fillId="2" borderId="0" xfId="0" applyFont="1" applyFill="1" applyAlignment="1">
      <alignment horizontal="left" vertical="center" wrapText="1" indent="2"/>
    </xf>
    <xf numFmtId="0" fontId="0" fillId="0" borderId="0" xfId="0" applyAlignment="1">
      <alignment horizontal="left" vertical="center" indent="2"/>
    </xf>
    <xf numFmtId="0" fontId="33" fillId="0" borderId="0" xfId="0" applyFont="1" applyAlignment="1">
      <alignment horizontal="left" vertical="center" indent="2"/>
    </xf>
    <xf numFmtId="0" fontId="1" fillId="2" borderId="0" xfId="0" applyFont="1" applyFill="1" applyAlignment="1">
      <alignment horizontal="left" vertical="center" indent="2"/>
    </xf>
    <xf numFmtId="0" fontId="43" fillId="2" borderId="0" xfId="0" applyFont="1" applyFill="1" applyAlignment="1">
      <alignment horizontal="left" vertical="center" indent="2"/>
    </xf>
    <xf numFmtId="0" fontId="43" fillId="2" borderId="0" xfId="0" applyFont="1" applyFill="1" applyAlignment="1">
      <alignment horizontal="left" vertical="center" wrapText="1" indent="2"/>
    </xf>
    <xf numFmtId="0" fontId="0" fillId="7" borderId="0" xfId="0" applyFill="1" applyAlignment="1">
      <alignment horizontal="left" vertical="center" indent="2"/>
    </xf>
    <xf numFmtId="0" fontId="0" fillId="7" borderId="0" xfId="0" applyFill="1" applyAlignment="1">
      <alignment horizontal="left" vertical="center" wrapText="1" indent="2"/>
    </xf>
    <xf numFmtId="0" fontId="0" fillId="7" borderId="0" xfId="0" applyFill="1" applyAlignment="1">
      <alignment vertical="center" wrapText="1"/>
    </xf>
    <xf numFmtId="0" fontId="27" fillId="7" borderId="0" xfId="3" applyFill="1" applyAlignment="1">
      <alignment horizontal="left" vertical="center" wrapText="1" indent="2"/>
    </xf>
    <xf numFmtId="0" fontId="27" fillId="7" borderId="0" xfId="3" applyFill="1" applyAlignment="1">
      <alignment vertical="center" wrapText="1"/>
    </xf>
    <xf numFmtId="0" fontId="21" fillId="7" borderId="0" xfId="3" applyFont="1" applyFill="1" applyAlignment="1">
      <alignment horizontal="left" vertical="center" wrapText="1" indent="2"/>
    </xf>
    <xf numFmtId="0" fontId="21" fillId="7" borderId="0" xfId="3" applyFont="1" applyFill="1" applyAlignment="1">
      <alignment vertical="center" wrapText="1"/>
    </xf>
    <xf numFmtId="0" fontId="2" fillId="7" borderId="0" xfId="0" applyFont="1" applyFill="1" applyAlignment="1">
      <alignment horizontal="left" wrapText="1" indent="2"/>
    </xf>
    <xf numFmtId="0" fontId="2" fillId="7" borderId="0" xfId="0" applyFont="1" applyFill="1" applyAlignment="1">
      <alignment wrapText="1"/>
    </xf>
    <xf numFmtId="0" fontId="0" fillId="7" borderId="0" xfId="0" applyFill="1" applyAlignment="1">
      <alignment horizontal="left" wrapText="1" indent="4"/>
    </xf>
    <xf numFmtId="0" fontId="1" fillId="7" borderId="0" xfId="0" applyFont="1" applyFill="1" applyAlignment="1">
      <alignment horizontal="left" wrapText="1"/>
    </xf>
    <xf numFmtId="0" fontId="0" fillId="7" borderId="0" xfId="0" applyFill="1" applyAlignment="1">
      <alignment horizontal="left" vertical="center" wrapText="1" indent="4"/>
    </xf>
    <xf numFmtId="0" fontId="0" fillId="7" borderId="0" xfId="0" applyFill="1" applyAlignment="1">
      <alignment wrapText="1"/>
    </xf>
    <xf numFmtId="0" fontId="0" fillId="7" borderId="0" xfId="0" applyFill="1" applyAlignment="1">
      <alignment horizontal="left" wrapText="1" indent="2"/>
    </xf>
    <xf numFmtId="0" fontId="3" fillId="7" borderId="0" xfId="0" applyFont="1" applyFill="1" applyAlignment="1">
      <alignment horizontal="left" wrapText="1" indent="2"/>
    </xf>
    <xf numFmtId="0" fontId="0" fillId="0" borderId="0" xfId="0" applyAlignment="1">
      <alignment horizontal="center"/>
    </xf>
    <xf numFmtId="0" fontId="36" fillId="7" borderId="0" xfId="0" applyFont="1" applyFill="1" applyBorder="1" applyAlignment="1">
      <alignment vertical="center"/>
    </xf>
    <xf numFmtId="0" fontId="4" fillId="0" borderId="0" xfId="0" applyFont="1" applyBorder="1"/>
    <xf numFmtId="0" fontId="8" fillId="0" borderId="0" xfId="0" applyFont="1" applyBorder="1"/>
    <xf numFmtId="0" fontId="40"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xf>
    <xf numFmtId="0" fontId="4" fillId="7" borderId="0" xfId="0" applyFont="1" applyFill="1" applyBorder="1"/>
    <xf numFmtId="0" fontId="4" fillId="7" borderId="0" xfId="0" applyFont="1" applyFill="1" applyBorder="1" applyAlignment="1">
      <alignment horizontal="center"/>
    </xf>
    <xf numFmtId="0" fontId="4" fillId="7" borderId="0" xfId="0" applyFont="1" applyFill="1" applyBorder="1" applyAlignment="1">
      <alignment horizontal="left" vertical="center"/>
    </xf>
    <xf numFmtId="0" fontId="4" fillId="7" borderId="0" xfId="0" applyFont="1" applyFill="1" applyBorder="1" applyAlignment="1" applyProtection="1">
      <alignment horizontal="center" vertical="center"/>
      <protection locked="0"/>
    </xf>
    <xf numFmtId="0" fontId="37" fillId="7" borderId="0" xfId="0" applyFont="1" applyFill="1" applyBorder="1" applyAlignment="1">
      <alignment horizontal="left" vertical="center"/>
    </xf>
    <xf numFmtId="0" fontId="36" fillId="7" borderId="0" xfId="0" applyFont="1" applyFill="1" applyBorder="1" applyAlignment="1">
      <alignment horizontal="left" vertical="center"/>
    </xf>
    <xf numFmtId="0" fontId="40" fillId="7" borderId="0" xfId="0" applyFont="1" applyFill="1" applyBorder="1" applyAlignment="1">
      <alignment vertical="center"/>
    </xf>
    <xf numFmtId="0" fontId="15" fillId="7" borderId="0" xfId="0" applyFont="1" applyFill="1" applyBorder="1" applyAlignment="1">
      <alignment vertical="center" wrapText="1"/>
    </xf>
    <xf numFmtId="0" fontId="4" fillId="7" borderId="0" xfId="0" applyFont="1" applyFill="1" applyBorder="1" applyAlignment="1">
      <alignment horizontal="center" vertical="center"/>
    </xf>
    <xf numFmtId="49" fontId="4" fillId="7" borderId="0" xfId="0" applyNumberFormat="1" applyFont="1" applyFill="1" applyBorder="1" applyAlignment="1" applyProtection="1">
      <alignment horizontal="center" vertical="center"/>
      <protection locked="0"/>
    </xf>
    <xf numFmtId="0" fontId="0" fillId="0" borderId="0" xfId="0" applyBorder="1"/>
    <xf numFmtId="0" fontId="4" fillId="7" borderId="0" xfId="0" applyFont="1" applyFill="1" applyBorder="1" applyAlignment="1">
      <alignment vertical="center"/>
    </xf>
    <xf numFmtId="0" fontId="0" fillId="7" borderId="0" xfId="0" applyFill="1" applyBorder="1" applyAlignment="1">
      <alignment vertical="center"/>
    </xf>
    <xf numFmtId="0" fontId="14" fillId="7" borderId="0" xfId="0" applyFont="1" applyFill="1" applyAlignment="1">
      <alignment vertical="center"/>
    </xf>
    <xf numFmtId="0" fontId="0" fillId="7" borderId="0" xfId="0" applyFill="1" applyAlignment="1">
      <alignment vertical="center"/>
    </xf>
    <xf numFmtId="0" fontId="26"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Alignment="1">
      <alignment vertical="center"/>
    </xf>
    <xf numFmtId="0" fontId="15" fillId="7" borderId="0" xfId="0" applyFont="1" applyFill="1" applyBorder="1" applyAlignment="1">
      <alignment vertical="center"/>
    </xf>
    <xf numFmtId="0" fontId="10" fillId="0" borderId="0" xfId="0" applyFont="1" applyBorder="1" applyAlignment="1">
      <alignment vertical="center"/>
    </xf>
    <xf numFmtId="0" fontId="15" fillId="0" borderId="0" xfId="0" applyFont="1" applyAlignment="1">
      <alignment vertical="center"/>
    </xf>
    <xf numFmtId="0" fontId="8" fillId="7" borderId="0" xfId="0" applyFont="1" applyFill="1" applyBorder="1" applyAlignment="1">
      <alignment vertical="center"/>
    </xf>
    <xf numFmtId="0" fontId="35" fillId="7" borderId="0" xfId="0" applyFont="1" applyFill="1" applyBorder="1" applyAlignment="1">
      <alignment horizontal="left" vertical="center" indent="1"/>
    </xf>
    <xf numFmtId="0" fontId="4" fillId="7" borderId="0"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0" xfId="0" applyFont="1" applyBorder="1" applyAlignment="1">
      <alignment horizontal="left" vertical="center" indent="1"/>
    </xf>
    <xf numFmtId="0" fontId="4" fillId="0" borderId="0" xfId="0" applyFont="1" applyBorder="1" applyAlignment="1">
      <alignment horizontal="left" indent="1"/>
    </xf>
    <xf numFmtId="0" fontId="36" fillId="7" borderId="0" xfId="0" applyFont="1" applyFill="1" applyBorder="1" applyAlignment="1">
      <alignment horizontal="left" vertical="center" indent="1"/>
    </xf>
    <xf numFmtId="0" fontId="40" fillId="7" borderId="0" xfId="0" applyFont="1" applyFill="1" applyBorder="1" applyAlignment="1">
      <alignment horizontal="left" vertical="center" indent="1"/>
    </xf>
    <xf numFmtId="0" fontId="4" fillId="7" borderId="0" xfId="0" applyFont="1" applyFill="1" applyBorder="1" applyAlignment="1">
      <alignment horizontal="left" indent="1"/>
    </xf>
    <xf numFmtId="165" fontId="41" fillId="7" borderId="0" xfId="0" applyNumberFormat="1" applyFont="1" applyFill="1" applyBorder="1" applyAlignment="1">
      <alignment horizontal="left" indent="1"/>
    </xf>
    <xf numFmtId="10" fontId="41" fillId="0" borderId="0" xfId="1" applyNumberFormat="1" applyFont="1" applyBorder="1" applyAlignment="1">
      <alignment horizontal="left" indent="1"/>
    </xf>
    <xf numFmtId="0" fontId="40" fillId="0" borderId="0" xfId="0" applyFont="1" applyBorder="1" applyAlignment="1">
      <alignment horizontal="left" vertical="center" indent="1"/>
    </xf>
    <xf numFmtId="10" fontId="41" fillId="0" borderId="0" xfId="0" applyNumberFormat="1" applyFont="1" applyBorder="1" applyAlignment="1">
      <alignment horizontal="left" indent="1"/>
    </xf>
    <xf numFmtId="2" fontId="41" fillId="0" borderId="0" xfId="0" applyNumberFormat="1" applyFont="1" applyBorder="1" applyAlignment="1">
      <alignment horizontal="left" indent="1"/>
    </xf>
    <xf numFmtId="165" fontId="41" fillId="0" borderId="0" xfId="0" applyNumberFormat="1" applyFont="1" applyBorder="1" applyAlignment="1">
      <alignment horizontal="left" indent="1"/>
    </xf>
    <xf numFmtId="1" fontId="41" fillId="0" borderId="0" xfId="0" applyNumberFormat="1" applyFont="1" applyBorder="1" applyAlignment="1">
      <alignment horizontal="left" indent="1"/>
    </xf>
    <xf numFmtId="0" fontId="4" fillId="4" borderId="7" xfId="0" applyFont="1" applyFill="1" applyBorder="1" applyAlignment="1">
      <alignment horizontal="left" vertical="center" indent="1"/>
    </xf>
    <xf numFmtId="0" fontId="4" fillId="4" borderId="9" xfId="0" applyFont="1" applyFill="1" applyBorder="1" applyAlignment="1">
      <alignment horizontal="left" vertical="center" indent="1"/>
    </xf>
    <xf numFmtId="0" fontId="0" fillId="9" borderId="0" xfId="0" applyFill="1" applyAlignment="1">
      <alignment horizontal="left" vertical="center" indent="1"/>
    </xf>
    <xf numFmtId="0" fontId="4" fillId="9" borderId="0" xfId="0" applyFont="1" applyFill="1" applyBorder="1" applyAlignment="1">
      <alignment vertical="center"/>
    </xf>
    <xf numFmtId="0" fontId="4" fillId="9" borderId="0" xfId="0" applyFont="1" applyFill="1" applyBorder="1" applyAlignment="1">
      <alignment horizontal="left" indent="1"/>
    </xf>
    <xf numFmtId="49" fontId="4" fillId="9" borderId="0" xfId="0" applyNumberFormat="1" applyFont="1" applyFill="1" applyBorder="1" applyAlignment="1" applyProtection="1">
      <alignment horizontal="center" vertical="center"/>
      <protection locked="0"/>
    </xf>
    <xf numFmtId="0" fontId="4" fillId="9" borderId="0" xfId="0" applyFont="1" applyFill="1" applyBorder="1" applyAlignment="1">
      <alignment horizontal="left" vertical="center"/>
    </xf>
    <xf numFmtId="0" fontId="40" fillId="9" borderId="0" xfId="0" applyFont="1" applyFill="1" applyBorder="1" applyAlignment="1">
      <alignment horizontal="left" vertical="center" indent="1"/>
    </xf>
    <xf numFmtId="0" fontId="4" fillId="9" borderId="0" xfId="0" applyFont="1" applyFill="1" applyBorder="1" applyAlignment="1">
      <alignment horizontal="left" vertical="center" indent="1"/>
    </xf>
    <xf numFmtId="10" fontId="41" fillId="9" borderId="0" xfId="0" applyNumberFormat="1" applyFont="1" applyFill="1" applyBorder="1" applyAlignment="1">
      <alignment horizontal="left" indent="1"/>
    </xf>
    <xf numFmtId="0" fontId="0" fillId="7" borderId="0" xfId="0" applyFill="1" applyAlignment="1">
      <alignment horizontal="left" vertical="center" indent="1"/>
    </xf>
    <xf numFmtId="10" fontId="41" fillId="7" borderId="0" xfId="1" applyNumberFormat="1" applyFont="1" applyFill="1" applyBorder="1" applyAlignment="1">
      <alignment horizontal="left" indent="1"/>
    </xf>
    <xf numFmtId="165" fontId="41" fillId="7" borderId="0" xfId="1" applyNumberFormat="1" applyFont="1" applyFill="1" applyBorder="1" applyAlignment="1">
      <alignment horizontal="left" indent="1"/>
    </xf>
    <xf numFmtId="0" fontId="36" fillId="7" borderId="0" xfId="0" applyFont="1" applyFill="1" applyBorder="1" applyAlignment="1">
      <alignment horizontal="center" vertical="center"/>
    </xf>
    <xf numFmtId="0" fontId="0" fillId="7" borderId="0" xfId="0" applyFill="1" applyAlignment="1">
      <alignment horizontal="center" vertical="center"/>
    </xf>
    <xf numFmtId="0" fontId="0" fillId="9" borderId="0" xfId="0" applyFill="1" applyAlignment="1">
      <alignment horizontal="center" vertical="center"/>
    </xf>
    <xf numFmtId="0" fontId="4" fillId="9" borderId="0" xfId="0" applyFont="1" applyFill="1" applyBorder="1" applyAlignment="1">
      <alignment horizontal="center" vertical="center"/>
    </xf>
    <xf numFmtId="0" fontId="4" fillId="0" borderId="0" xfId="0" applyFont="1" applyBorder="1" applyAlignment="1">
      <alignment horizontal="center"/>
    </xf>
    <xf numFmtId="0" fontId="40" fillId="7" borderId="0" xfId="0" applyFont="1" applyFill="1" applyBorder="1" applyAlignment="1">
      <alignment horizontal="center" vertical="center"/>
    </xf>
    <xf numFmtId="0" fontId="40" fillId="9" borderId="0" xfId="0" applyFont="1" applyFill="1" applyBorder="1" applyAlignment="1">
      <alignment horizontal="center" vertical="center"/>
    </xf>
    <xf numFmtId="0" fontId="40" fillId="0" borderId="0" xfId="0" applyFont="1" applyBorder="1" applyAlignment="1">
      <alignment horizontal="center" vertical="center"/>
    </xf>
    <xf numFmtId="0" fontId="2" fillId="0" borderId="0" xfId="0" applyFont="1" applyAlignment="1">
      <alignment vertical="center"/>
    </xf>
    <xf numFmtId="0" fontId="29" fillId="0" borderId="0" xfId="0" applyFont="1" applyAlignment="1">
      <alignment horizontal="left" vertical="center" indent="2"/>
    </xf>
    <xf numFmtId="0" fontId="12" fillId="0" borderId="0" xfId="0" applyFont="1" applyAlignment="1">
      <alignment horizontal="left" vertical="center" indent="2"/>
    </xf>
    <xf numFmtId="0" fontId="30" fillId="0" borderId="0" xfId="0" applyFont="1" applyAlignment="1">
      <alignment horizontal="left" vertical="center" indent="2"/>
    </xf>
    <xf numFmtId="9" fontId="30" fillId="0" borderId="0" xfId="1" applyFont="1" applyAlignment="1">
      <alignment horizontal="left" vertical="center" indent="2"/>
    </xf>
    <xf numFmtId="0" fontId="42" fillId="7" borderId="0" xfId="0" applyFont="1" applyFill="1" applyAlignment="1">
      <alignment horizontal="left" vertical="center" indent="2"/>
    </xf>
    <xf numFmtId="0" fontId="4" fillId="4" borderId="13" xfId="0" applyFont="1" applyFill="1" applyBorder="1" applyAlignment="1">
      <alignment horizontal="left" vertical="center" indent="2"/>
    </xf>
    <xf numFmtId="0" fontId="4" fillId="4" borderId="15" xfId="0" applyFont="1" applyFill="1" applyBorder="1" applyAlignment="1">
      <alignment horizontal="left" vertical="center" indent="2"/>
    </xf>
    <xf numFmtId="0" fontId="4" fillId="4" borderId="17" xfId="0" applyFont="1" applyFill="1" applyBorder="1" applyAlignment="1">
      <alignment horizontal="left" vertical="center" indent="2"/>
    </xf>
    <xf numFmtId="0" fontId="0" fillId="7" borderId="14" xfId="0" applyFill="1" applyBorder="1" applyAlignment="1">
      <alignment horizontal="center" vertical="center"/>
    </xf>
    <xf numFmtId="0" fontId="0" fillId="7" borderId="16" xfId="0" applyFill="1" applyBorder="1" applyAlignment="1">
      <alignment horizontal="center" vertical="center"/>
    </xf>
    <xf numFmtId="9" fontId="2" fillId="7" borderId="18" xfId="1" applyFont="1" applyFill="1" applyBorder="1" applyAlignment="1">
      <alignment horizontal="center" vertical="center"/>
    </xf>
    <xf numFmtId="9" fontId="1" fillId="7" borderId="16" xfId="1" applyFill="1" applyBorder="1" applyAlignment="1">
      <alignment horizontal="center" vertical="center"/>
    </xf>
    <xf numFmtId="0" fontId="3" fillId="7" borderId="0" xfId="0" applyFont="1" applyFill="1" applyAlignment="1">
      <alignment horizontal="center" vertical="center"/>
    </xf>
    <xf numFmtId="0" fontId="2" fillId="7" borderId="0" xfId="0" applyFont="1" applyFill="1" applyAlignment="1">
      <alignment horizontal="left" vertical="center" indent="2"/>
    </xf>
    <xf numFmtId="0" fontId="3" fillId="7" borderId="0" xfId="0" applyFont="1" applyFill="1" applyAlignment="1">
      <alignment horizontal="left" vertical="center" indent="2"/>
    </xf>
    <xf numFmtId="0" fontId="0" fillId="0" borderId="0" xfId="0" applyAlignment="1">
      <alignment horizontal="left" indent="4"/>
    </xf>
    <xf numFmtId="0" fontId="0" fillId="6" borderId="0" xfId="0" applyFill="1" applyAlignment="1">
      <alignment horizontal="center" vertical="center"/>
    </xf>
    <xf numFmtId="0" fontId="2" fillId="7" borderId="0" xfId="0" applyFont="1" applyFill="1" applyAlignment="1">
      <alignment horizontal="center" vertical="center"/>
    </xf>
    <xf numFmtId="0" fontId="2" fillId="10" borderId="12" xfId="0" applyFont="1" applyFill="1" applyBorder="1" applyAlignment="1">
      <alignment horizontal="center" vertical="center"/>
    </xf>
    <xf numFmtId="0" fontId="0" fillId="10" borderId="20" xfId="0" applyFill="1" applyBorder="1" applyAlignment="1">
      <alignment horizontal="center" vertical="center"/>
    </xf>
    <xf numFmtId="0" fontId="6" fillId="7" borderId="0" xfId="0" applyFont="1" applyFill="1" applyAlignment="1">
      <alignment horizontal="center" vertical="center"/>
    </xf>
    <xf numFmtId="0" fontId="44" fillId="2" borderId="0" xfId="0" applyFont="1" applyFill="1" applyAlignment="1">
      <alignment horizontal="left" vertical="center" wrapText="1" indent="2"/>
    </xf>
    <xf numFmtId="0" fontId="2" fillId="7" borderId="0" xfId="0" applyFont="1" applyFill="1" applyAlignment="1">
      <alignment horizontal="left" indent="4"/>
    </xf>
    <xf numFmtId="0" fontId="2" fillId="7" borderId="0" xfId="0" applyFont="1" applyFill="1" applyAlignment="1">
      <alignment horizontal="center"/>
    </xf>
    <xf numFmtId="9" fontId="2" fillId="4" borderId="0" xfId="1" applyFont="1" applyFill="1" applyAlignment="1">
      <alignment horizontal="center" vertical="center"/>
    </xf>
    <xf numFmtId="0" fontId="17" fillId="7" borderId="0" xfId="0" applyFont="1" applyFill="1" applyAlignment="1">
      <alignment horizontal="left" vertical="center" indent="2"/>
    </xf>
    <xf numFmtId="9" fontId="1" fillId="4" borderId="21" xfId="1" applyFill="1" applyBorder="1" applyAlignment="1">
      <alignment horizontal="center" vertical="center"/>
    </xf>
    <xf numFmtId="0" fontId="4" fillId="4" borderId="19" xfId="0" applyFont="1" applyFill="1" applyBorder="1" applyAlignment="1">
      <alignment horizontal="left" vertical="center" indent="2"/>
    </xf>
    <xf numFmtId="9" fontId="0" fillId="4" borderId="23" xfId="1" applyFont="1" applyFill="1" applyBorder="1" applyAlignment="1">
      <alignment horizontal="center" vertical="center"/>
    </xf>
    <xf numFmtId="9" fontId="0" fillId="4" borderId="20" xfId="1" applyFont="1" applyFill="1" applyBorder="1" applyAlignment="1">
      <alignment horizontal="center" vertical="center"/>
    </xf>
    <xf numFmtId="9" fontId="1" fillId="4" borderId="16" xfId="1" applyFill="1" applyBorder="1" applyAlignment="1">
      <alignment horizontal="center" vertical="center"/>
    </xf>
    <xf numFmtId="9" fontId="2" fillId="4" borderId="24" xfId="1" applyFont="1" applyFill="1" applyBorder="1" applyAlignment="1">
      <alignment horizontal="center" vertical="center"/>
    </xf>
    <xf numFmtId="9" fontId="2" fillId="4" borderId="18" xfId="1" applyFont="1" applyFill="1" applyBorder="1" applyAlignment="1">
      <alignment horizontal="center" vertical="center"/>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0" fillId="10" borderId="12" xfId="0" applyFill="1" applyBorder="1" applyAlignment="1">
      <alignment horizontal="center" vertical="center"/>
    </xf>
    <xf numFmtId="0" fontId="3" fillId="10" borderId="12" xfId="0" applyFont="1" applyFill="1" applyBorder="1" applyAlignment="1">
      <alignment horizontal="center" vertical="center"/>
    </xf>
    <xf numFmtId="0" fontId="4" fillId="4" borderId="27" xfId="0" applyFont="1" applyFill="1" applyBorder="1" applyAlignment="1">
      <alignment horizontal="left" vertical="center" indent="2"/>
    </xf>
    <xf numFmtId="0" fontId="4" fillId="4" borderId="29" xfId="0" applyFont="1" applyFill="1" applyBorder="1" applyAlignment="1">
      <alignment horizontal="left" vertical="center" indent="2"/>
    </xf>
    <xf numFmtId="9" fontId="0" fillId="4" borderId="16" xfId="0" applyNumberFormat="1" applyFill="1" applyBorder="1" applyAlignment="1">
      <alignment horizontal="center" vertical="center"/>
    </xf>
    <xf numFmtId="165" fontId="2" fillId="4" borderId="18" xfId="2" applyNumberFormat="1" applyFont="1" applyFill="1" applyBorder="1" applyAlignment="1">
      <alignment horizontal="center" vertical="center"/>
    </xf>
    <xf numFmtId="9" fontId="0" fillId="4" borderId="28" xfId="0" applyNumberFormat="1" applyFill="1" applyBorder="1" applyAlignment="1">
      <alignment horizontal="center" vertical="center"/>
    </xf>
    <xf numFmtId="6" fontId="2" fillId="4" borderId="30" xfId="0" applyNumberFormat="1" applyFont="1" applyFill="1" applyBorder="1" applyAlignment="1">
      <alignment horizontal="center" vertical="center"/>
    </xf>
    <xf numFmtId="165" fontId="12" fillId="4" borderId="22" xfId="2" applyNumberFormat="1" applyFont="1" applyFill="1" applyBorder="1" applyAlignment="1">
      <alignment horizontal="center" vertical="center"/>
    </xf>
    <xf numFmtId="0" fontId="2" fillId="7" borderId="0" xfId="0" applyFont="1" applyFill="1"/>
    <xf numFmtId="0" fontId="0" fillId="6" borderId="0" xfId="0" applyFill="1" applyAlignment="1">
      <alignment vertical="center"/>
    </xf>
    <xf numFmtId="0" fontId="2" fillId="7" borderId="0" xfId="0" applyFont="1" applyFill="1" applyAlignment="1">
      <alignment vertical="center"/>
    </xf>
    <xf numFmtId="0" fontId="5" fillId="0" borderId="0" xfId="0" applyFont="1" applyAlignment="1">
      <alignment vertical="center" wrapText="1"/>
    </xf>
    <xf numFmtId="0" fontId="2" fillId="0" borderId="0" xfId="0" applyFont="1" applyAlignment="1">
      <alignment horizontal="left" vertical="center" indent="2"/>
    </xf>
    <xf numFmtId="0" fontId="9" fillId="2" borderId="0" xfId="0" applyFont="1" applyFill="1" applyAlignment="1">
      <alignment horizontal="left" vertical="center" wrapText="1" indent="2"/>
    </xf>
    <xf numFmtId="0" fontId="9" fillId="2" borderId="11" xfId="0" applyFont="1" applyFill="1" applyBorder="1" applyAlignment="1">
      <alignment horizontal="left" vertical="center" indent="2"/>
    </xf>
    <xf numFmtId="0" fontId="9" fillId="2" borderId="19" xfId="0" applyFont="1" applyFill="1" applyBorder="1" applyAlignment="1">
      <alignment horizontal="left" vertical="center" indent="2"/>
    </xf>
    <xf numFmtId="0" fontId="9" fillId="10" borderId="11" xfId="0" applyFont="1" applyFill="1" applyBorder="1" applyAlignment="1">
      <alignment horizontal="left" vertical="center" indent="2"/>
    </xf>
    <xf numFmtId="0" fontId="8" fillId="0" borderId="0" xfId="0" applyFont="1" applyAlignment="1">
      <alignment vertical="center"/>
    </xf>
    <xf numFmtId="0" fontId="0" fillId="0" borderId="0" xfId="0" applyFont="1" applyAlignment="1">
      <alignment vertical="center"/>
    </xf>
    <xf numFmtId="0" fontId="40" fillId="0" borderId="0" xfId="0" applyFont="1" applyAlignment="1">
      <alignment vertical="center"/>
    </xf>
    <xf numFmtId="0" fontId="35" fillId="0" borderId="0" xfId="0" applyFont="1" applyAlignment="1">
      <alignment vertical="center"/>
    </xf>
    <xf numFmtId="0" fontId="41" fillId="0" borderId="0" xfId="0" applyFont="1" applyAlignment="1">
      <alignment vertical="center"/>
    </xf>
    <xf numFmtId="165" fontId="4" fillId="0" borderId="0" xfId="1" applyNumberFormat="1" applyFont="1" applyAlignment="1">
      <alignment horizontal="center" vertical="center"/>
    </xf>
    <xf numFmtId="0" fontId="4" fillId="0" borderId="0" xfId="0" applyFont="1" applyAlignment="1">
      <alignment horizontal="left" vertical="center" wrapText="1" indent="2"/>
    </xf>
    <xf numFmtId="0" fontId="4" fillId="0" borderId="0" xfId="0" applyFont="1" applyAlignment="1">
      <alignment vertical="center"/>
    </xf>
    <xf numFmtId="0" fontId="4" fillId="0" borderId="0" xfId="0" applyFont="1" applyAlignment="1">
      <alignment horizontal="left" vertical="center" indent="2"/>
    </xf>
    <xf numFmtId="0" fontId="36" fillId="0" borderId="0" xfId="0" applyFont="1" applyAlignment="1">
      <alignment vertical="center"/>
    </xf>
    <xf numFmtId="0" fontId="8" fillId="10" borderId="0" xfId="0" applyFont="1" applyFill="1" applyAlignment="1">
      <alignment vertical="center"/>
    </xf>
    <xf numFmtId="0" fontId="29" fillId="11" borderId="0" xfId="0" applyFont="1" applyFill="1" applyAlignment="1">
      <alignment horizontal="center" vertical="center"/>
    </xf>
    <xf numFmtId="0" fontId="8" fillId="7" borderId="0" xfId="0" applyFont="1" applyFill="1" applyAlignment="1">
      <alignment horizontal="left" vertical="center" indent="2"/>
    </xf>
    <xf numFmtId="10" fontId="8" fillId="7" borderId="0" xfId="1" applyNumberFormat="1" applyFont="1" applyFill="1" applyAlignment="1">
      <alignment horizontal="center" vertical="center"/>
    </xf>
    <xf numFmtId="0" fontId="8" fillId="7" borderId="0" xfId="0" applyFont="1" applyFill="1" applyAlignment="1">
      <alignment horizontal="center" vertical="center"/>
    </xf>
    <xf numFmtId="0" fontId="8" fillId="7" borderId="0" xfId="0" applyFont="1" applyFill="1" applyAlignment="1">
      <alignment vertical="center"/>
    </xf>
    <xf numFmtId="0" fontId="4" fillId="7" borderId="0" xfId="0" applyFont="1" applyFill="1" applyAlignment="1">
      <alignment vertical="center"/>
    </xf>
    <xf numFmtId="0" fontId="35" fillId="7" borderId="0" xfId="0" applyFont="1" applyFill="1" applyAlignment="1">
      <alignment horizontal="left" vertical="center" indent="2"/>
    </xf>
    <xf numFmtId="0" fontId="35" fillId="7" borderId="0" xfId="0" applyFont="1" applyFill="1" applyAlignment="1">
      <alignment vertical="center"/>
    </xf>
    <xf numFmtId="0" fontId="41" fillId="7" borderId="0" xfId="0" applyFont="1" applyFill="1" applyAlignment="1">
      <alignment vertical="center"/>
    </xf>
    <xf numFmtId="0" fontId="4" fillId="7" borderId="0" xfId="0" applyFont="1" applyFill="1" applyAlignment="1">
      <alignment horizontal="center" vertical="center"/>
    </xf>
    <xf numFmtId="6" fontId="4" fillId="7" borderId="0" xfId="0" applyNumberFormat="1" applyFont="1" applyFill="1" applyAlignment="1">
      <alignment horizontal="center" vertical="center"/>
    </xf>
    <xf numFmtId="0" fontId="9" fillId="2" borderId="31" xfId="0" applyFont="1" applyFill="1" applyBorder="1" applyAlignment="1">
      <alignment horizontal="left" vertical="center" indent="2"/>
    </xf>
    <xf numFmtId="0" fontId="8" fillId="10" borderId="32" xfId="0" applyFont="1" applyFill="1" applyBorder="1" applyAlignment="1">
      <alignment vertical="center"/>
    </xf>
    <xf numFmtId="0" fontId="4" fillId="4" borderId="33" xfId="0" applyFont="1" applyFill="1" applyBorder="1" applyAlignment="1">
      <alignment horizontal="left" vertical="center" indent="2"/>
    </xf>
    <xf numFmtId="9" fontId="4" fillId="4" borderId="34" xfId="1" applyFont="1" applyFill="1" applyBorder="1" applyAlignment="1">
      <alignment horizontal="center" vertical="center"/>
    </xf>
    <xf numFmtId="0" fontId="4" fillId="4" borderId="35" xfId="0" applyFont="1" applyFill="1" applyBorder="1" applyAlignment="1">
      <alignment horizontal="left" vertical="center" indent="2"/>
    </xf>
    <xf numFmtId="9" fontId="8" fillId="4" borderId="36" xfId="1" applyFont="1" applyFill="1" applyBorder="1" applyAlignment="1">
      <alignment horizontal="center" vertical="center"/>
    </xf>
    <xf numFmtId="0" fontId="8" fillId="10" borderId="12" xfId="0" applyFont="1" applyFill="1" applyBorder="1" applyAlignment="1">
      <alignment vertical="center"/>
    </xf>
    <xf numFmtId="0" fontId="36" fillId="2" borderId="11" xfId="0" applyFont="1" applyFill="1" applyBorder="1" applyAlignment="1">
      <alignment horizontal="left" vertical="center" indent="2"/>
    </xf>
    <xf numFmtId="0" fontId="41" fillId="10" borderId="12" xfId="0" applyFont="1" applyFill="1" applyBorder="1" applyAlignment="1">
      <alignment vertical="center"/>
    </xf>
    <xf numFmtId="0" fontId="36" fillId="2" borderId="37" xfId="0" applyFont="1" applyFill="1" applyBorder="1" applyAlignment="1">
      <alignment horizontal="left" vertical="center" indent="2"/>
    </xf>
    <xf numFmtId="6" fontId="8" fillId="4" borderId="38" xfId="0" applyNumberFormat="1" applyFont="1" applyFill="1" applyBorder="1" applyAlignment="1">
      <alignment horizontal="center" vertical="center"/>
    </xf>
    <xf numFmtId="10" fontId="4" fillId="4" borderId="14" xfId="0" applyNumberFormat="1" applyFont="1" applyFill="1" applyBorder="1" applyAlignment="1">
      <alignment horizontal="center" vertical="center"/>
    </xf>
    <xf numFmtId="166" fontId="8" fillId="4" borderId="18" xfId="0" applyNumberFormat="1" applyFont="1" applyFill="1" applyBorder="1" applyAlignment="1">
      <alignment horizontal="center" vertical="center"/>
    </xf>
    <xf numFmtId="6" fontId="8" fillId="4" borderId="18" xfId="0" applyNumberFormat="1" applyFont="1" applyFill="1" applyBorder="1" applyAlignment="1">
      <alignment horizontal="center" vertical="center"/>
    </xf>
    <xf numFmtId="9" fontId="4" fillId="4" borderId="20" xfId="1" applyFont="1" applyFill="1" applyBorder="1" applyAlignment="1">
      <alignment horizontal="center" vertical="center"/>
    </xf>
    <xf numFmtId="0" fontId="4" fillId="4" borderId="16" xfId="0" applyFont="1" applyFill="1" applyBorder="1" applyAlignment="1">
      <alignment horizontal="center" vertical="center"/>
    </xf>
    <xf numFmtId="0" fontId="8" fillId="4" borderId="17" xfId="0" applyFont="1" applyFill="1" applyBorder="1" applyAlignment="1">
      <alignment horizontal="left" vertical="center" indent="2"/>
    </xf>
    <xf numFmtId="10" fontId="8" fillId="4" borderId="18" xfId="1" applyNumberFormat="1" applyFont="1" applyFill="1" applyBorder="1" applyAlignment="1">
      <alignment horizontal="center" vertical="center"/>
    </xf>
    <xf numFmtId="9" fontId="4" fillId="4" borderId="14" xfId="1" applyFont="1" applyFill="1" applyBorder="1" applyAlignment="1">
      <alignment horizontal="center" vertical="center"/>
    </xf>
    <xf numFmtId="0" fontId="45" fillId="7" borderId="0" xfId="0" applyFont="1" applyFill="1" applyAlignment="1">
      <alignment horizontal="left" vertical="center" wrapText="1"/>
    </xf>
    <xf numFmtId="0" fontId="2" fillId="9" borderId="0" xfId="0" applyFont="1" applyFill="1" applyAlignment="1">
      <alignment horizontal="left" vertical="center" indent="2"/>
    </xf>
    <xf numFmtId="0" fontId="2" fillId="9" borderId="0" xfId="0" applyFont="1" applyFill="1" applyAlignment="1">
      <alignment vertical="center"/>
    </xf>
    <xf numFmtId="0" fontId="7" fillId="0" borderId="0" xfId="0" applyFont="1" applyAlignment="1">
      <alignment vertical="center" wrapText="1"/>
    </xf>
    <xf numFmtId="0" fontId="5" fillId="3" borderId="0" xfId="0" applyFont="1" applyFill="1" applyAlignment="1">
      <alignment horizontal="center" vertical="center" wrapText="1"/>
    </xf>
    <xf numFmtId="2" fontId="5" fillId="3" borderId="0" xfId="0" applyNumberFormat="1" applyFont="1" applyFill="1" applyAlignment="1">
      <alignment horizontal="center" vertical="center" wrapText="1"/>
    </xf>
    <xf numFmtId="9" fontId="5" fillId="3" borderId="0" xfId="1" applyFont="1" applyFill="1" applyAlignment="1">
      <alignment horizontal="center" vertical="center" wrapText="1"/>
    </xf>
    <xf numFmtId="0" fontId="9" fillId="10" borderId="0" xfId="0" applyFont="1" applyFill="1" applyAlignment="1">
      <alignment vertical="center"/>
    </xf>
    <xf numFmtId="0" fontId="2" fillId="10" borderId="0" xfId="0" applyFont="1" applyFill="1" applyAlignment="1">
      <alignment vertical="center"/>
    </xf>
    <xf numFmtId="0" fontId="0" fillId="7" borderId="0" xfId="0" applyFill="1" applyAlignment="1">
      <alignment horizontal="right" vertical="center"/>
    </xf>
    <xf numFmtId="0" fontId="3" fillId="7" borderId="0" xfId="0" applyFont="1" applyFill="1" applyAlignment="1">
      <alignment vertical="center"/>
    </xf>
    <xf numFmtId="165" fontId="0" fillId="7" borderId="0" xfId="1" applyNumberFormat="1" applyFont="1" applyFill="1" applyAlignment="1">
      <alignment horizontal="center" vertical="center"/>
    </xf>
    <xf numFmtId="0" fontId="5" fillId="7" borderId="0" xfId="0" applyFont="1" applyFill="1" applyAlignment="1">
      <alignment vertical="center" wrapText="1"/>
    </xf>
    <xf numFmtId="0" fontId="5" fillId="7" borderId="0" xfId="0" applyFont="1" applyFill="1" applyAlignment="1">
      <alignment vertical="center"/>
    </xf>
    <xf numFmtId="0" fontId="0" fillId="7" borderId="0" xfId="0" applyFill="1" applyAlignment="1">
      <alignment horizontal="left" vertical="center"/>
    </xf>
    <xf numFmtId="0" fontId="24" fillId="7" borderId="0" xfId="0" applyFont="1" applyFill="1" applyAlignment="1">
      <alignment horizontal="left" vertical="center"/>
    </xf>
    <xf numFmtId="0" fontId="4" fillId="4" borderId="39" xfId="0" applyFont="1" applyFill="1" applyBorder="1" applyAlignment="1">
      <alignment horizontal="left" vertical="center" indent="2"/>
    </xf>
    <xf numFmtId="0" fontId="4" fillId="4" borderId="42" xfId="0" applyFont="1" applyFill="1" applyBorder="1" applyAlignment="1">
      <alignment horizontal="left" vertical="center" indent="2"/>
    </xf>
    <xf numFmtId="0" fontId="2" fillId="4" borderId="43" xfId="0" applyFont="1" applyFill="1" applyBorder="1" applyAlignment="1">
      <alignment vertical="center"/>
    </xf>
    <xf numFmtId="0" fontId="4" fillId="4" borderId="44" xfId="0" applyFont="1" applyFill="1" applyBorder="1" applyAlignment="1">
      <alignment horizontal="left" vertical="center" indent="2"/>
    </xf>
    <xf numFmtId="2" fontId="0" fillId="4" borderId="16" xfId="0" applyNumberFormat="1" applyFill="1" applyBorder="1" applyAlignment="1">
      <alignment horizontal="center" vertical="center"/>
    </xf>
    <xf numFmtId="0" fontId="4" fillId="4" borderId="40" xfId="0" applyFont="1" applyFill="1" applyBorder="1" applyAlignment="1">
      <alignment vertical="center"/>
    </xf>
    <xf numFmtId="9" fontId="4" fillId="4" borderId="40" xfId="1"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vertical="center"/>
    </xf>
    <xf numFmtId="0" fontId="4" fillId="4" borderId="45" xfId="0" applyFont="1" applyFill="1" applyBorder="1" applyAlignment="1">
      <alignment vertical="center"/>
    </xf>
    <xf numFmtId="9" fontId="4" fillId="4" borderId="45" xfId="1" applyFont="1" applyFill="1" applyBorder="1" applyAlignment="1">
      <alignment horizontal="center" vertical="center"/>
    </xf>
    <xf numFmtId="0" fontId="4" fillId="4" borderId="45" xfId="0" applyFont="1" applyFill="1" applyBorder="1" applyAlignment="1">
      <alignment horizontal="center" vertical="center"/>
    </xf>
    <xf numFmtId="0" fontId="4" fillId="4" borderId="46" xfId="0" applyFont="1" applyFill="1" applyBorder="1" applyAlignment="1">
      <alignment vertical="center"/>
    </xf>
    <xf numFmtId="0" fontId="9" fillId="2" borderId="37" xfId="0" applyFont="1" applyFill="1" applyBorder="1" applyAlignment="1">
      <alignment horizontal="left" vertical="center" indent="2"/>
    </xf>
    <xf numFmtId="0" fontId="0" fillId="7" borderId="40" xfId="0" applyFill="1" applyBorder="1" applyAlignment="1">
      <alignment vertical="center"/>
    </xf>
    <xf numFmtId="0" fontId="0" fillId="7" borderId="45" xfId="0" applyFill="1" applyBorder="1" applyAlignment="1">
      <alignment vertical="center"/>
    </xf>
    <xf numFmtId="0" fontId="0" fillId="4" borderId="40" xfId="0" applyFill="1" applyBorder="1" applyAlignment="1">
      <alignment vertical="center"/>
    </xf>
    <xf numFmtId="0" fontId="3" fillId="4" borderId="45" xfId="0" applyFont="1" applyFill="1" applyBorder="1" applyAlignment="1">
      <alignment vertical="center"/>
    </xf>
    <xf numFmtId="0" fontId="0" fillId="10" borderId="47" xfId="0" applyFill="1" applyBorder="1" applyAlignment="1">
      <alignment vertical="center"/>
    </xf>
    <xf numFmtId="9" fontId="0" fillId="4" borderId="14" xfId="0" applyNumberFormat="1" applyFill="1" applyBorder="1" applyAlignment="1">
      <alignment horizontal="center" vertical="center"/>
    </xf>
    <xf numFmtId="165" fontId="2" fillId="4" borderId="18" xfId="0" applyNumberFormat="1" applyFont="1" applyFill="1" applyBorder="1" applyAlignment="1">
      <alignment horizontal="center" vertical="center"/>
    </xf>
    <xf numFmtId="9" fontId="0" fillId="7" borderId="14" xfId="0" applyNumberFormat="1" applyFill="1" applyBorder="1" applyAlignment="1">
      <alignment horizontal="center" vertical="center"/>
    </xf>
    <xf numFmtId="165" fontId="2" fillId="7" borderId="18" xfId="0" applyNumberFormat="1" applyFont="1" applyFill="1" applyBorder="1" applyAlignment="1">
      <alignment horizontal="center" vertical="center"/>
    </xf>
    <xf numFmtId="0" fontId="29" fillId="7" borderId="0" xfId="0" applyFont="1" applyFill="1" applyAlignment="1">
      <alignment horizontal="left" vertical="center" wrapText="1" indent="2"/>
    </xf>
    <xf numFmtId="0" fontId="29" fillId="11" borderId="0" xfId="0" applyFont="1" applyFill="1" applyAlignment="1">
      <alignment vertical="center" wrapText="1"/>
    </xf>
    <xf numFmtId="0" fontId="29" fillId="7" borderId="0" xfId="0" applyFont="1" applyFill="1" applyAlignment="1">
      <alignment vertical="center" wrapText="1"/>
    </xf>
    <xf numFmtId="0" fontId="0" fillId="0" borderId="0" xfId="0" applyAlignment="1">
      <alignment horizontal="left" indent="2"/>
    </xf>
    <xf numFmtId="165" fontId="0" fillId="7" borderId="0" xfId="0" applyNumberFormat="1" applyFill="1" applyAlignment="1">
      <alignment horizontal="center" vertical="center"/>
    </xf>
    <xf numFmtId="49" fontId="4" fillId="7" borderId="0" xfId="0" applyNumberFormat="1" applyFont="1" applyFill="1" applyAlignment="1">
      <alignment vertical="center"/>
    </xf>
    <xf numFmtId="0" fontId="42" fillId="6" borderId="0" xfId="0" applyFont="1" applyFill="1" applyAlignment="1">
      <alignment vertical="center"/>
    </xf>
    <xf numFmtId="0" fontId="29" fillId="3" borderId="0" xfId="0" applyFont="1" applyFill="1" applyAlignment="1">
      <alignment vertical="center"/>
    </xf>
    <xf numFmtId="0" fontId="18" fillId="3" borderId="0" xfId="0" applyFont="1" applyFill="1" applyAlignment="1">
      <alignment horizontal="center" vertical="center"/>
    </xf>
    <xf numFmtId="0" fontId="18" fillId="0" borderId="0" xfId="0" applyFont="1" applyAlignment="1">
      <alignment vertical="center"/>
    </xf>
    <xf numFmtId="0" fontId="23" fillId="3" borderId="0" xfId="0" applyFont="1" applyFill="1" applyAlignment="1">
      <alignment vertical="center"/>
    </xf>
    <xf numFmtId="0" fontId="3" fillId="0" borderId="0" xfId="0" applyFont="1" applyAlignment="1">
      <alignment vertical="center"/>
    </xf>
    <xf numFmtId="165" fontId="0" fillId="0" borderId="0" xfId="0" applyNumberFormat="1" applyAlignment="1">
      <alignment vertical="center"/>
    </xf>
    <xf numFmtId="0" fontId="29" fillId="3" borderId="0" xfId="0" applyFont="1" applyFill="1" applyAlignment="1">
      <alignment horizontal="left" vertical="center" indent="2"/>
    </xf>
    <xf numFmtId="0" fontId="5" fillId="0" borderId="0" xfId="0" applyFont="1" applyAlignment="1">
      <alignment horizontal="left" vertical="center" wrapText="1" indent="2"/>
    </xf>
    <xf numFmtId="0" fontId="18" fillId="11" borderId="0" xfId="0" applyFont="1" applyFill="1" applyAlignment="1">
      <alignment vertical="center"/>
    </xf>
    <xf numFmtId="0" fontId="29" fillId="11" borderId="0" xfId="0" applyFont="1" applyFill="1" applyAlignment="1">
      <alignment vertical="center"/>
    </xf>
    <xf numFmtId="0" fontId="23" fillId="11" borderId="0" xfId="0" applyFont="1" applyFill="1" applyAlignment="1">
      <alignment vertical="center"/>
    </xf>
    <xf numFmtId="0" fontId="2" fillId="4" borderId="25" xfId="0" applyFont="1" applyFill="1" applyBorder="1" applyAlignment="1">
      <alignment horizontal="left" vertical="center" indent="2"/>
    </xf>
    <xf numFmtId="2" fontId="2" fillId="0" borderId="26" xfId="0" applyNumberFormat="1" applyFont="1" applyBorder="1" applyAlignment="1">
      <alignment horizontal="center" vertical="center"/>
    </xf>
    <xf numFmtId="9" fontId="0" fillId="4" borderId="16" xfId="1" applyFont="1" applyFill="1" applyBorder="1" applyAlignment="1">
      <alignment horizontal="center" vertical="center"/>
    </xf>
    <xf numFmtId="9" fontId="0" fillId="7" borderId="0" xfId="1" applyFont="1" applyFill="1" applyBorder="1" applyAlignment="1">
      <alignment horizontal="center" vertical="center"/>
    </xf>
    <xf numFmtId="0" fontId="2" fillId="7" borderId="0" xfId="0" applyFont="1" applyFill="1" applyBorder="1" applyAlignment="1">
      <alignment horizontal="left" vertical="center" indent="2"/>
    </xf>
    <xf numFmtId="9" fontId="2" fillId="7" borderId="0" xfId="1" applyFont="1" applyFill="1" applyAlignment="1">
      <alignment vertical="center"/>
    </xf>
    <xf numFmtId="9" fontId="0" fillId="7" borderId="0" xfId="1" applyFont="1" applyFill="1" applyAlignment="1">
      <alignment vertical="center"/>
    </xf>
    <xf numFmtId="168" fontId="0" fillId="7" borderId="0" xfId="0" applyNumberFormat="1" applyFill="1" applyAlignment="1">
      <alignment horizontal="center" vertical="center"/>
    </xf>
    <xf numFmtId="0" fontId="5" fillId="7" borderId="0" xfId="0" applyFont="1" applyFill="1" applyAlignment="1">
      <alignment horizontal="left" vertical="center" wrapText="1" indent="2"/>
    </xf>
    <xf numFmtId="0" fontId="4" fillId="7" borderId="0" xfId="0" applyFont="1" applyFill="1" applyAlignment="1">
      <alignment horizontal="left" vertical="center" indent="2"/>
    </xf>
    <xf numFmtId="0" fontId="0" fillId="7" borderId="0" xfId="1" applyNumberFormat="1" applyFont="1" applyFill="1" applyAlignment="1">
      <alignment horizontal="center" vertical="center"/>
    </xf>
    <xf numFmtId="0" fontId="46" fillId="9" borderId="0" xfId="0" applyFont="1" applyFill="1" applyAlignment="1">
      <alignment horizontal="left" vertical="center" indent="2"/>
    </xf>
    <xf numFmtId="0" fontId="46" fillId="9" borderId="0" xfId="0" applyFont="1" applyFill="1" applyAlignment="1">
      <alignment horizontal="center" vertical="center"/>
    </xf>
    <xf numFmtId="0" fontId="46" fillId="9" borderId="0" xfId="0" applyFont="1" applyFill="1" applyAlignment="1">
      <alignment vertical="center"/>
    </xf>
    <xf numFmtId="0" fontId="9" fillId="2" borderId="22" xfId="0" applyFont="1" applyFill="1" applyBorder="1" applyAlignment="1">
      <alignment horizontal="left" vertical="center" indent="2"/>
    </xf>
    <xf numFmtId="165" fontId="12" fillId="0" borderId="22" xfId="0" applyNumberFormat="1" applyFont="1" applyBorder="1" applyAlignment="1">
      <alignment horizontal="center" vertical="center"/>
    </xf>
    <xf numFmtId="0" fontId="18" fillId="3" borderId="0" xfId="0" applyFont="1" applyFill="1" applyAlignment="1">
      <alignment vertical="center"/>
    </xf>
    <xf numFmtId="2" fontId="0" fillId="0" borderId="0" xfId="0" applyNumberFormat="1" applyAlignment="1">
      <alignment vertical="center"/>
    </xf>
    <xf numFmtId="165" fontId="0" fillId="0" borderId="0" xfId="1" applyNumberFormat="1" applyFont="1" applyAlignment="1">
      <alignment horizontal="center" vertical="center"/>
    </xf>
    <xf numFmtId="165" fontId="0" fillId="0" borderId="0" xfId="1" applyNumberFormat="1" applyFont="1" applyAlignment="1">
      <alignment vertical="center"/>
    </xf>
    <xf numFmtId="164" fontId="1" fillId="7" borderId="0" xfId="1" applyNumberFormat="1" applyFill="1" applyAlignment="1">
      <alignment horizontal="center" vertical="center" wrapText="1"/>
    </xf>
    <xf numFmtId="0" fontId="18" fillId="7" borderId="0" xfId="0" applyFont="1" applyFill="1" applyAlignment="1">
      <alignment vertical="center"/>
    </xf>
    <xf numFmtId="165" fontId="0" fillId="7" borderId="0" xfId="0" applyNumberFormat="1" applyFill="1" applyAlignment="1">
      <alignment vertical="center"/>
    </xf>
    <xf numFmtId="6" fontId="0" fillId="7" borderId="0" xfId="0" applyNumberFormat="1" applyFill="1" applyAlignment="1">
      <alignment horizontal="center" vertical="center"/>
    </xf>
    <xf numFmtId="166" fontId="0" fillId="7" borderId="0" xfId="0" applyNumberFormat="1" applyFill="1" applyAlignment="1">
      <alignment horizontal="center" vertical="center"/>
    </xf>
    <xf numFmtId="166" fontId="5" fillId="7" borderId="0" xfId="0" applyNumberFormat="1" applyFont="1" applyFill="1" applyAlignment="1">
      <alignment horizontal="center" vertical="center" wrapText="1"/>
    </xf>
    <xf numFmtId="0" fontId="4" fillId="4" borderId="15" xfId="0" applyFont="1" applyFill="1" applyBorder="1" applyAlignment="1">
      <alignment horizontal="left" vertical="center" wrapText="1" indent="2"/>
    </xf>
    <xf numFmtId="0" fontId="18" fillId="7" borderId="0" xfId="0" applyFont="1" applyFill="1" applyAlignment="1">
      <alignment horizontal="left" vertical="center" indent="2"/>
    </xf>
    <xf numFmtId="0" fontId="4" fillId="4" borderId="33" xfId="0" applyFont="1" applyFill="1" applyBorder="1" applyAlignment="1">
      <alignment horizontal="left" vertical="center" wrapText="1" indent="2"/>
    </xf>
    <xf numFmtId="0" fontId="8" fillId="4" borderId="35" xfId="0" applyFont="1" applyFill="1" applyBorder="1" applyAlignment="1">
      <alignment horizontal="left" vertical="center" wrapText="1" indent="2"/>
    </xf>
    <xf numFmtId="9" fontId="1" fillId="7" borderId="0" xfId="1" applyFill="1" applyAlignment="1">
      <alignment horizontal="center" vertical="center"/>
    </xf>
    <xf numFmtId="0" fontId="18" fillId="7" borderId="0" xfId="0" applyFont="1" applyFill="1" applyAlignment="1">
      <alignment horizontal="center" vertical="center"/>
    </xf>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2" fillId="0" borderId="0" xfId="0" applyFont="1" applyAlignment="1">
      <alignment horizontal="left" wrapText="1" indent="2"/>
    </xf>
    <xf numFmtId="0" fontId="0" fillId="0" borderId="0" xfId="0" applyAlignment="1">
      <alignment horizontal="left" wrapText="1" indent="2"/>
    </xf>
    <xf numFmtId="0" fontId="4" fillId="4" borderId="21" xfId="0" applyFont="1" applyFill="1" applyBorder="1" applyAlignment="1">
      <alignment horizontal="center" vertical="center"/>
    </xf>
    <xf numFmtId="164" fontId="4" fillId="4" borderId="21" xfId="1" applyNumberFormat="1" applyFont="1" applyFill="1" applyBorder="1" applyAlignment="1">
      <alignment horizontal="center" vertical="center" wrapText="1"/>
    </xf>
    <xf numFmtId="9" fontId="4" fillId="4" borderId="21" xfId="1" applyFont="1" applyFill="1" applyBorder="1" applyAlignment="1">
      <alignment horizontal="center" vertical="center" wrapText="1"/>
    </xf>
    <xf numFmtId="164" fontId="4" fillId="4" borderId="16" xfId="1" applyNumberFormat="1" applyFont="1" applyFill="1" applyBorder="1" applyAlignment="1">
      <alignment horizontal="center" vertical="center" wrapText="1"/>
    </xf>
    <xf numFmtId="9" fontId="4" fillId="4" borderId="21" xfId="1" applyFont="1" applyFill="1" applyBorder="1" applyAlignment="1">
      <alignment horizontal="center" vertical="center"/>
    </xf>
    <xf numFmtId="0" fontId="4" fillId="4" borderId="24" xfId="0" applyFont="1" applyFill="1" applyBorder="1" applyAlignment="1">
      <alignment horizontal="center" vertical="center"/>
    </xf>
    <xf numFmtId="164" fontId="4" fillId="4" borderId="24" xfId="1" applyNumberFormat="1" applyFont="1" applyFill="1" applyBorder="1" applyAlignment="1">
      <alignment horizontal="center" vertical="center" wrapText="1"/>
    </xf>
    <xf numFmtId="9" fontId="4" fillId="4" borderId="24" xfId="1" applyFont="1" applyFill="1" applyBorder="1" applyAlignment="1">
      <alignment horizontal="center" vertical="center"/>
    </xf>
    <xf numFmtId="164" fontId="4" fillId="4" borderId="18" xfId="1" applyNumberFormat="1" applyFont="1" applyFill="1" applyBorder="1" applyAlignment="1">
      <alignment horizontal="center" vertical="center" wrapText="1"/>
    </xf>
    <xf numFmtId="164" fontId="39" fillId="4" borderId="21" xfId="1" applyNumberFormat="1" applyFont="1" applyFill="1" applyBorder="1" applyAlignment="1">
      <alignment horizontal="center" vertical="center"/>
    </xf>
    <xf numFmtId="10" fontId="39" fillId="4" borderId="21" xfId="1" applyNumberFormat="1" applyFont="1" applyFill="1" applyBorder="1" applyAlignment="1">
      <alignment horizontal="center" vertical="center"/>
    </xf>
    <xf numFmtId="10" fontId="39" fillId="4" borderId="34" xfId="1" applyNumberFormat="1" applyFont="1" applyFill="1" applyBorder="1" applyAlignment="1">
      <alignment horizontal="center" vertical="center"/>
    </xf>
    <xf numFmtId="0" fontId="8" fillId="4" borderId="49" xfId="0" applyFont="1" applyFill="1" applyBorder="1" applyAlignment="1">
      <alignment horizontal="center" vertical="center" wrapText="1"/>
    </xf>
    <xf numFmtId="10" fontId="8" fillId="4" borderId="49" xfId="0" applyNumberFormat="1" applyFont="1" applyFill="1" applyBorder="1" applyAlignment="1">
      <alignment horizontal="center" vertical="center"/>
    </xf>
    <xf numFmtId="10" fontId="8" fillId="4" borderId="36" xfId="0" applyNumberFormat="1" applyFont="1" applyFill="1" applyBorder="1" applyAlignment="1">
      <alignment horizontal="center" vertical="center"/>
    </xf>
    <xf numFmtId="2" fontId="4" fillId="0" borderId="20" xfId="0" applyNumberFormat="1" applyFont="1" applyBorder="1" applyAlignment="1">
      <alignment horizontal="center" vertical="center"/>
    </xf>
    <xf numFmtId="165" fontId="8" fillId="0" borderId="18" xfId="0" applyNumberFormat="1" applyFont="1" applyBorder="1" applyAlignment="1">
      <alignment horizontal="center" vertical="center"/>
    </xf>
    <xf numFmtId="164" fontId="4" fillId="0" borderId="20" xfId="0" applyNumberFormat="1" applyFont="1" applyBorder="1" applyAlignment="1">
      <alignment horizontal="center" vertical="center"/>
    </xf>
    <xf numFmtId="167" fontId="8" fillId="0" borderId="18" xfId="0" applyNumberFormat="1" applyFont="1" applyBorder="1" applyAlignment="1">
      <alignment horizontal="center" vertical="center"/>
    </xf>
    <xf numFmtId="165" fontId="8" fillId="0" borderId="18" xfId="2" applyNumberFormat="1" applyFont="1" applyBorder="1" applyAlignment="1">
      <alignment horizontal="center" vertical="center"/>
    </xf>
    <xf numFmtId="168" fontId="4" fillId="0" borderId="20" xfId="0" applyNumberFormat="1" applyFont="1" applyBorder="1" applyAlignment="1">
      <alignment horizontal="center" vertical="center"/>
    </xf>
    <xf numFmtId="2" fontId="4" fillId="0" borderId="16" xfId="1" applyNumberFormat="1" applyFont="1" applyBorder="1" applyAlignment="1">
      <alignment horizontal="center" vertical="center"/>
    </xf>
    <xf numFmtId="9" fontId="4" fillId="0" borderId="16" xfId="0" applyNumberFormat="1" applyFont="1" applyBorder="1" applyAlignment="1">
      <alignment horizontal="center" vertical="center"/>
    </xf>
    <xf numFmtId="0" fontId="4" fillId="0" borderId="18" xfId="0" applyFont="1" applyBorder="1" applyAlignment="1">
      <alignment horizontal="center" vertical="center"/>
    </xf>
    <xf numFmtId="168" fontId="4" fillId="4" borderId="20" xfId="0" applyNumberFormat="1" applyFont="1" applyFill="1" applyBorder="1" applyAlignment="1">
      <alignment horizontal="center" vertical="center"/>
    </xf>
    <xf numFmtId="168" fontId="4" fillId="4" borderId="16" xfId="0" applyNumberFormat="1" applyFont="1" applyFill="1" applyBorder="1" applyAlignment="1">
      <alignment horizontal="center" vertical="center"/>
    </xf>
    <xf numFmtId="168" fontId="8" fillId="4" borderId="18" xfId="1" applyNumberFormat="1" applyFont="1" applyFill="1" applyBorder="1" applyAlignment="1">
      <alignment horizontal="center" vertical="center"/>
    </xf>
    <xf numFmtId="9" fontId="4" fillId="4" borderId="16" xfId="1" applyFont="1" applyFill="1" applyBorder="1" applyAlignment="1">
      <alignment horizontal="center" vertical="center"/>
    </xf>
    <xf numFmtId="9" fontId="4" fillId="4" borderId="18" xfId="1" applyFont="1" applyFill="1" applyBorder="1" applyAlignment="1">
      <alignment horizontal="center" vertical="center"/>
    </xf>
    <xf numFmtId="0" fontId="4" fillId="4" borderId="21" xfId="0" applyFont="1" applyFill="1" applyBorder="1" applyAlignment="1">
      <alignment horizontal="left" vertical="center" indent="2"/>
    </xf>
    <xf numFmtId="0" fontId="0" fillId="9" borderId="0" xfId="0" applyFill="1" applyAlignment="1">
      <alignment horizontal="left" vertical="center" indent="2"/>
    </xf>
    <xf numFmtId="0" fontId="20" fillId="2" borderId="22" xfId="0" applyFont="1" applyFill="1" applyBorder="1" applyAlignment="1">
      <alignment horizontal="left" vertical="center" wrapText="1" indent="2"/>
    </xf>
    <xf numFmtId="166" fontId="12" fillId="0" borderId="22" xfId="0" applyNumberFormat="1" applyFont="1" applyBorder="1" applyAlignment="1">
      <alignment horizontal="left" vertical="center" wrapText="1" indent="2"/>
    </xf>
    <xf numFmtId="0" fontId="18" fillId="3" borderId="0" xfId="0" applyFont="1" applyFill="1" applyAlignment="1">
      <alignment horizontal="left" vertical="center"/>
    </xf>
    <xf numFmtId="0" fontId="47" fillId="6" borderId="0" xfId="0" applyFont="1" applyFill="1" applyAlignment="1">
      <alignment vertical="center"/>
    </xf>
    <xf numFmtId="0" fontId="18" fillId="7" borderId="0" xfId="0" applyFont="1" applyFill="1" applyAlignment="1">
      <alignment horizontal="left" vertical="center"/>
    </xf>
    <xf numFmtId="0" fontId="23" fillId="7" borderId="0" xfId="0" applyFont="1" applyFill="1" applyAlignment="1">
      <alignment vertical="center"/>
    </xf>
    <xf numFmtId="0" fontId="18" fillId="7" borderId="0" xfId="0" applyFont="1" applyFill="1"/>
    <xf numFmtId="0" fontId="29" fillId="7" borderId="0" xfId="0" applyFont="1" applyFill="1" applyAlignment="1">
      <alignment horizontal="left" vertical="center" indent="2"/>
    </xf>
    <xf numFmtId="9" fontId="0" fillId="3" borderId="23" xfId="1" applyFont="1" applyFill="1" applyBorder="1" applyAlignment="1" applyProtection="1">
      <alignment horizontal="center" vertical="center"/>
      <protection locked="0"/>
    </xf>
    <xf numFmtId="9" fontId="0" fillId="3" borderId="21" xfId="1" applyFont="1" applyFill="1" applyBorder="1" applyAlignment="1" applyProtection="1">
      <alignment horizontal="center" vertical="center"/>
      <protection locked="0"/>
    </xf>
    <xf numFmtId="9" fontId="0" fillId="4" borderId="21" xfId="1" applyFont="1" applyFill="1" applyBorder="1" applyAlignment="1">
      <alignment horizontal="center" vertical="center"/>
    </xf>
    <xf numFmtId="9" fontId="0" fillId="4" borderId="24" xfId="1" applyFont="1" applyFill="1" applyBorder="1" applyAlignment="1">
      <alignment horizontal="center" vertical="center"/>
    </xf>
    <xf numFmtId="0" fontId="0" fillId="4" borderId="18" xfId="0" applyFill="1" applyBorder="1" applyAlignment="1">
      <alignment vertical="center"/>
    </xf>
    <xf numFmtId="0" fontId="0" fillId="4" borderId="24" xfId="0" applyFill="1" applyBorder="1" applyAlignment="1">
      <alignment vertical="center"/>
    </xf>
    <xf numFmtId="10" fontId="2" fillId="7" borderId="0" xfId="1" applyNumberFormat="1" applyFont="1" applyFill="1" applyAlignment="1">
      <alignment horizontal="center" vertical="center"/>
    </xf>
    <xf numFmtId="49" fontId="5" fillId="7" borderId="0" xfId="0" applyNumberFormat="1" applyFont="1" applyFill="1" applyAlignment="1">
      <alignment vertical="center"/>
    </xf>
    <xf numFmtId="166" fontId="12" fillId="0" borderId="22" xfId="0" applyNumberFormat="1" applyFont="1" applyBorder="1" applyAlignment="1">
      <alignment horizontal="center" vertical="center"/>
    </xf>
    <xf numFmtId="0" fontId="8" fillId="10" borderId="47" xfId="0" applyFont="1" applyFill="1" applyBorder="1" applyAlignment="1">
      <alignment horizontal="center" vertical="center"/>
    </xf>
    <xf numFmtId="0" fontId="8" fillId="10" borderId="47"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22" fillId="2" borderId="37" xfId="0" applyFont="1" applyFill="1" applyBorder="1" applyAlignment="1">
      <alignment horizontal="left" vertical="center" indent="2"/>
    </xf>
    <xf numFmtId="0" fontId="21" fillId="10" borderId="38" xfId="0" applyFont="1" applyFill="1" applyBorder="1" applyAlignment="1">
      <alignment horizontal="left" vertical="center"/>
    </xf>
    <xf numFmtId="0" fontId="3" fillId="10" borderId="38" xfId="0" applyFont="1" applyFill="1" applyBorder="1" applyAlignment="1">
      <alignment vertical="center"/>
    </xf>
    <xf numFmtId="0" fontId="0" fillId="10" borderId="38" xfId="0" applyFill="1" applyBorder="1" applyAlignment="1">
      <alignment vertical="center"/>
    </xf>
    <xf numFmtId="0" fontId="4" fillId="4" borderId="50" xfId="0" applyFont="1" applyFill="1" applyBorder="1" applyAlignment="1">
      <alignment horizontal="left" vertical="center" indent="2"/>
    </xf>
    <xf numFmtId="164" fontId="39" fillId="4" borderId="48" xfId="1" applyNumberFormat="1" applyFont="1" applyFill="1" applyBorder="1" applyAlignment="1">
      <alignment horizontal="center" vertical="center"/>
    </xf>
    <xf numFmtId="10" fontId="39" fillId="4" borderId="48" xfId="1" applyNumberFormat="1" applyFont="1" applyFill="1" applyBorder="1" applyAlignment="1">
      <alignment horizontal="center" vertical="center"/>
    </xf>
    <xf numFmtId="10" fontId="39" fillId="4" borderId="51" xfId="1" applyNumberFormat="1" applyFont="1" applyFill="1" applyBorder="1" applyAlignment="1">
      <alignment horizontal="center" vertical="center"/>
    </xf>
    <xf numFmtId="0" fontId="4" fillId="4" borderId="48" xfId="0" applyFont="1" applyFill="1" applyBorder="1" applyAlignment="1">
      <alignment horizontal="center" vertical="center"/>
    </xf>
    <xf numFmtId="164" fontId="4" fillId="4" borderId="48" xfId="1" applyNumberFormat="1" applyFont="1" applyFill="1" applyBorder="1" applyAlignment="1">
      <alignment horizontal="center" vertical="center" wrapText="1"/>
    </xf>
    <xf numFmtId="9" fontId="4" fillId="4" borderId="48" xfId="1" applyFont="1" applyFill="1" applyBorder="1" applyAlignment="1">
      <alignment horizontal="center" vertical="center" wrapText="1"/>
    </xf>
    <xf numFmtId="164" fontId="4" fillId="4" borderId="14" xfId="1" applyNumberFormat="1" applyFont="1" applyFill="1" applyBorder="1" applyAlignment="1">
      <alignment horizontal="center" vertical="center" wrapText="1"/>
    </xf>
    <xf numFmtId="166" fontId="0" fillId="10" borderId="38" xfId="0" applyNumberFormat="1" applyFill="1" applyBorder="1" applyAlignment="1">
      <alignment horizontal="center" vertical="center"/>
    </xf>
    <xf numFmtId="0" fontId="3" fillId="10" borderId="38" xfId="0" applyFont="1" applyFill="1" applyBorder="1" applyAlignment="1">
      <alignment horizontal="center" vertical="center"/>
    </xf>
    <xf numFmtId="0" fontId="9" fillId="10" borderId="37" xfId="0" applyFont="1" applyFill="1" applyBorder="1" applyAlignment="1">
      <alignment horizontal="left" vertical="center" wrapText="1" indent="2"/>
    </xf>
    <xf numFmtId="49" fontId="8" fillId="10" borderId="47" xfId="0" applyNumberFormat="1" applyFont="1" applyFill="1" applyBorder="1" applyAlignment="1">
      <alignment horizontal="center" vertical="center" wrapText="1"/>
    </xf>
    <xf numFmtId="0" fontId="8" fillId="10" borderId="38" xfId="0" applyFont="1" applyFill="1" applyBorder="1" applyAlignment="1">
      <alignment horizontal="center" vertical="center"/>
    </xf>
    <xf numFmtId="0" fontId="2" fillId="10" borderId="38" xfId="0" applyFont="1" applyFill="1" applyBorder="1" applyAlignment="1">
      <alignment horizontal="center" vertical="center"/>
    </xf>
    <xf numFmtId="0" fontId="0" fillId="10" borderId="38" xfId="0" applyFill="1" applyBorder="1" applyAlignment="1">
      <alignment horizontal="center" vertical="center"/>
    </xf>
    <xf numFmtId="168" fontId="0" fillId="10" borderId="38" xfId="0" applyNumberFormat="1" applyFill="1" applyBorder="1" applyAlignment="1">
      <alignment horizontal="center" vertical="center"/>
    </xf>
    <xf numFmtId="165" fontId="0" fillId="10" borderId="38" xfId="0" applyNumberFormat="1" applyFill="1" applyBorder="1" applyAlignment="1">
      <alignment horizontal="center" vertical="center"/>
    </xf>
    <xf numFmtId="0" fontId="2" fillId="10" borderId="47" xfId="0" applyFont="1" applyFill="1" applyBorder="1" applyAlignment="1">
      <alignment vertical="center"/>
    </xf>
    <xf numFmtId="2" fontId="2" fillId="10" borderId="47" xfId="0" applyNumberFormat="1" applyFont="1" applyFill="1" applyBorder="1" applyAlignment="1">
      <alignment horizontal="center" vertical="center"/>
    </xf>
    <xf numFmtId="0" fontId="2" fillId="10" borderId="38" xfId="0" applyFont="1" applyFill="1" applyBorder="1" applyAlignment="1">
      <alignment vertical="center"/>
    </xf>
    <xf numFmtId="0" fontId="5" fillId="10" borderId="47" xfId="0" applyFont="1" applyFill="1" applyBorder="1" applyAlignment="1">
      <alignment vertical="center" wrapText="1"/>
    </xf>
    <xf numFmtId="0" fontId="5" fillId="10" borderId="38" xfId="0" applyFont="1" applyFill="1" applyBorder="1" applyAlignment="1">
      <alignment horizontal="center" vertical="center" wrapText="1"/>
    </xf>
    <xf numFmtId="0" fontId="0" fillId="9" borderId="0" xfId="0" applyFill="1" applyAlignment="1">
      <alignment vertical="center"/>
    </xf>
    <xf numFmtId="10" fontId="0" fillId="4" borderId="20" xfId="0" applyNumberFormat="1" applyFill="1" applyBorder="1" applyAlignment="1">
      <alignment horizontal="center" vertical="center"/>
    </xf>
    <xf numFmtId="166" fontId="2" fillId="4" borderId="18" xfId="2" applyNumberFormat="1" applyFont="1" applyFill="1" applyBorder="1" applyAlignment="1">
      <alignment horizontal="center" vertical="center"/>
    </xf>
    <xf numFmtId="166" fontId="12" fillId="4" borderId="22" xfId="0" applyNumberFormat="1" applyFont="1" applyFill="1" applyBorder="1" applyAlignment="1">
      <alignment horizontal="center" vertical="center"/>
    </xf>
    <xf numFmtId="0" fontId="16" fillId="7" borderId="0" xfId="0" applyFont="1" applyFill="1" applyAlignment="1">
      <alignment vertical="center"/>
    </xf>
    <xf numFmtId="0" fontId="19" fillId="7" borderId="0" xfId="0" applyFont="1" applyFill="1" applyAlignment="1">
      <alignment vertical="center"/>
    </xf>
    <xf numFmtId="0" fontId="49" fillId="7" borderId="0" xfId="0" applyFont="1" applyFill="1" applyAlignment="1">
      <alignment vertical="center"/>
    </xf>
    <xf numFmtId="1" fontId="0" fillId="7" borderId="0" xfId="0" applyNumberFormat="1" applyFill="1" applyAlignment="1">
      <alignment horizontal="center" vertical="center"/>
    </xf>
    <xf numFmtId="8" fontId="0" fillId="7" borderId="0" xfId="0" applyNumberFormat="1" applyFill="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1" fontId="4" fillId="4" borderId="15" xfId="0" applyNumberFormat="1" applyFont="1" applyFill="1" applyBorder="1" applyAlignment="1">
      <alignment horizontal="center" vertical="center"/>
    </xf>
    <xf numFmtId="1" fontId="4" fillId="4" borderId="16" xfId="0" applyNumberFormat="1" applyFont="1" applyFill="1" applyBorder="1" applyAlignment="1">
      <alignment horizontal="center" vertical="center"/>
    </xf>
    <xf numFmtId="1" fontId="4" fillId="4" borderId="17" xfId="0" applyNumberFormat="1" applyFont="1" applyFill="1" applyBorder="1" applyAlignment="1">
      <alignment horizontal="center" vertical="center"/>
    </xf>
    <xf numFmtId="1" fontId="4" fillId="4" borderId="18" xfId="0" applyNumberFormat="1" applyFont="1" applyFill="1" applyBorder="1" applyAlignment="1">
      <alignment horizontal="center" vertical="center"/>
    </xf>
    <xf numFmtId="0" fontId="4" fillId="4" borderId="20" xfId="0" applyFont="1" applyFill="1" applyBorder="1" applyAlignment="1">
      <alignment horizontal="center" vertical="center"/>
    </xf>
    <xf numFmtId="0" fontId="4" fillId="4" borderId="15" xfId="0" applyFont="1" applyFill="1" applyBorder="1" applyAlignment="1">
      <alignment horizontal="center" vertical="center"/>
    </xf>
    <xf numFmtId="0" fontId="8" fillId="4" borderId="17" xfId="0" applyFont="1" applyFill="1" applyBorder="1" applyAlignment="1">
      <alignment horizontal="center" vertical="center"/>
    </xf>
    <xf numFmtId="10" fontId="4" fillId="4" borderId="18" xfId="2" applyNumberFormat="1" applyFont="1" applyFill="1" applyBorder="1" applyAlignment="1">
      <alignment horizontal="center" vertical="center"/>
    </xf>
    <xf numFmtId="166" fontId="4" fillId="4" borderId="20" xfId="2" applyNumberFormat="1" applyFont="1" applyFill="1" applyBorder="1" applyAlignment="1">
      <alignment horizontal="center" vertical="center"/>
    </xf>
    <xf numFmtId="166" fontId="4" fillId="4" borderId="16" xfId="2" applyNumberFormat="1" applyFont="1" applyFill="1" applyBorder="1" applyAlignment="1">
      <alignment horizontal="center" vertical="center"/>
    </xf>
    <xf numFmtId="166" fontId="8" fillId="4" borderId="18" xfId="2" applyNumberFormat="1" applyFont="1" applyFill="1" applyBorder="1" applyAlignment="1">
      <alignment horizontal="center" vertical="center"/>
    </xf>
    <xf numFmtId="164" fontId="4" fillId="4" borderId="20" xfId="1" applyNumberFormat="1" applyFont="1" applyFill="1" applyBorder="1" applyAlignment="1">
      <alignment horizontal="center" vertical="center"/>
    </xf>
    <xf numFmtId="2" fontId="4" fillId="4" borderId="20" xfId="0" applyNumberFormat="1" applyFont="1" applyFill="1" applyBorder="1" applyAlignment="1">
      <alignment horizontal="center" vertical="center"/>
    </xf>
    <xf numFmtId="0" fontId="9" fillId="2" borderId="22" xfId="0" applyFont="1" applyFill="1" applyBorder="1" applyAlignment="1">
      <alignment horizontal="left" vertical="center" wrapText="1" indent="2"/>
    </xf>
    <xf numFmtId="0" fontId="3" fillId="7" borderId="0" xfId="0" applyFont="1" applyFill="1" applyAlignment="1">
      <alignment vertical="center" wrapText="1"/>
    </xf>
    <xf numFmtId="0" fontId="0" fillId="0" borderId="0" xfId="0" applyAlignment="1">
      <alignment vertical="center" wrapText="1"/>
    </xf>
    <xf numFmtId="0" fontId="53" fillId="6" borderId="0" xfId="0" applyFont="1" applyFill="1" applyAlignment="1">
      <alignment horizontal="left" vertical="center"/>
    </xf>
    <xf numFmtId="0" fontId="40" fillId="7" borderId="0" xfId="0" applyFont="1" applyFill="1" applyAlignment="1">
      <alignment vertical="center"/>
    </xf>
    <xf numFmtId="0" fontId="0" fillId="2" borderId="38" xfId="0" applyFill="1" applyBorder="1" applyAlignment="1">
      <alignment vertical="center"/>
    </xf>
    <xf numFmtId="0" fontId="2" fillId="2" borderId="38" xfId="0" applyFont="1" applyFill="1" applyBorder="1" applyAlignment="1">
      <alignment horizontal="center" vertical="center"/>
    </xf>
    <xf numFmtId="0" fontId="5" fillId="10" borderId="38" xfId="0" applyFont="1" applyFill="1" applyBorder="1" applyAlignment="1">
      <alignment vertical="center"/>
    </xf>
    <xf numFmtId="0" fontId="0" fillId="9" borderId="0" xfId="0" applyFill="1" applyAlignment="1">
      <alignment horizontal="left" vertical="top" wrapText="1"/>
    </xf>
    <xf numFmtId="0" fontId="0" fillId="7" borderId="0" xfId="0" applyFill="1" applyAlignment="1">
      <alignment horizontal="left" vertical="top" wrapText="1"/>
    </xf>
    <xf numFmtId="0" fontId="4" fillId="0" borderId="52" xfId="0" applyFont="1" applyBorder="1" applyAlignment="1">
      <alignment horizontal="left" vertical="top" wrapText="1"/>
    </xf>
    <xf numFmtId="0" fontId="9" fillId="0" borderId="52" xfId="0" applyFont="1" applyBorder="1" applyAlignment="1">
      <alignment horizontal="left" vertical="top" wrapText="1"/>
    </xf>
    <xf numFmtId="0" fontId="9" fillId="7" borderId="0" xfId="0" applyFont="1" applyFill="1" applyAlignment="1">
      <alignment horizontal="left" vertical="top" wrapText="1"/>
    </xf>
    <xf numFmtId="0" fontId="9" fillId="9" borderId="0" xfId="0" applyFont="1" applyFill="1" applyAlignment="1">
      <alignment horizontal="left" vertical="top" wrapText="1"/>
    </xf>
    <xf numFmtId="0" fontId="9" fillId="0" borderId="0" xfId="0" applyFont="1" applyAlignment="1">
      <alignment horizontal="left" vertical="top" wrapText="1"/>
    </xf>
    <xf numFmtId="0" fontId="4" fillId="7" borderId="52" xfId="0" applyFont="1" applyFill="1" applyBorder="1" applyAlignment="1">
      <alignment horizontal="left" vertical="top" wrapText="1"/>
    </xf>
    <xf numFmtId="0" fontId="9" fillId="12" borderId="52" xfId="0" applyFont="1" applyFill="1" applyBorder="1" applyAlignment="1">
      <alignment horizontal="left" vertical="top" wrapText="1"/>
    </xf>
    <xf numFmtId="0" fontId="4" fillId="12" borderId="52" xfId="0" applyFont="1" applyFill="1" applyBorder="1" applyAlignment="1">
      <alignment horizontal="left" vertical="top" wrapText="1"/>
    </xf>
    <xf numFmtId="0" fontId="4" fillId="12" borderId="53" xfId="0" applyFont="1" applyFill="1" applyBorder="1" applyAlignment="1">
      <alignment horizontal="left" vertical="top" wrapText="1"/>
    </xf>
    <xf numFmtId="0" fontId="14" fillId="7" borderId="0" xfId="0" applyFont="1" applyFill="1" applyBorder="1" applyAlignment="1">
      <alignment vertical="top" wrapText="1"/>
    </xf>
    <xf numFmtId="0" fontId="28" fillId="6" borderId="0" xfId="0" applyFont="1" applyFill="1" applyAlignment="1">
      <alignment vertical="center"/>
    </xf>
    <xf numFmtId="165" fontId="28" fillId="6" borderId="0" xfId="0" applyNumberFormat="1" applyFont="1" applyFill="1" applyAlignment="1">
      <alignment vertical="center"/>
    </xf>
    <xf numFmtId="0" fontId="34" fillId="7" borderId="0" xfId="0" applyFont="1" applyFill="1" applyAlignment="1">
      <alignment vertical="center"/>
    </xf>
    <xf numFmtId="165" fontId="34" fillId="7" borderId="0" xfId="0" applyNumberFormat="1" applyFont="1" applyFill="1" applyAlignment="1">
      <alignment vertical="center"/>
    </xf>
    <xf numFmtId="164" fontId="0" fillId="0" borderId="0" xfId="1" applyNumberFormat="1" applyFont="1" applyAlignment="1">
      <alignment horizontal="right" vertical="center"/>
    </xf>
    <xf numFmtId="165" fontId="0" fillId="0" borderId="0" xfId="2" applyNumberFormat="1" applyFont="1" applyAlignment="1">
      <alignment horizontal="right" vertical="center"/>
    </xf>
    <xf numFmtId="165" fontId="0" fillId="0" borderId="0" xfId="0" applyNumberFormat="1" applyAlignment="1">
      <alignment horizontal="right" vertical="center"/>
    </xf>
    <xf numFmtId="164" fontId="2" fillId="0" borderId="0" xfId="1" applyNumberFormat="1" applyFont="1" applyAlignment="1">
      <alignment horizontal="right" vertical="center"/>
    </xf>
    <xf numFmtId="165" fontId="2" fillId="0" borderId="0" xfId="0" applyNumberFormat="1" applyFont="1" applyAlignment="1">
      <alignment horizontal="right" vertical="center"/>
    </xf>
    <xf numFmtId="165" fontId="14" fillId="0" borderId="0" xfId="0" applyNumberFormat="1" applyFont="1" applyAlignment="1">
      <alignment horizontal="right" vertical="center"/>
    </xf>
    <xf numFmtId="9" fontId="2" fillId="7" borderId="0" xfId="0" applyNumberFormat="1" applyFont="1" applyFill="1" applyAlignment="1">
      <alignment vertical="center"/>
    </xf>
    <xf numFmtId="165" fontId="0" fillId="7" borderId="0" xfId="2" applyNumberFormat="1" applyFont="1" applyFill="1" applyAlignment="1">
      <alignment vertical="center"/>
    </xf>
    <xf numFmtId="9" fontId="0" fillId="7" borderId="0" xfId="0" applyNumberFormat="1" applyFill="1" applyAlignment="1">
      <alignment vertical="center"/>
    </xf>
    <xf numFmtId="10" fontId="0" fillId="7" borderId="0" xfId="0" applyNumberFormat="1" applyFill="1" applyAlignment="1">
      <alignment vertical="center"/>
    </xf>
    <xf numFmtId="2" fontId="0" fillId="7" borderId="0" xfId="0" applyNumberFormat="1" applyFill="1" applyAlignment="1">
      <alignment vertical="center"/>
    </xf>
    <xf numFmtId="0" fontId="2" fillId="7" borderId="0" xfId="0" applyFont="1" applyFill="1" applyAlignment="1">
      <alignment horizontal="right" vertical="center"/>
    </xf>
    <xf numFmtId="165" fontId="0" fillId="7" borderId="0" xfId="0" applyNumberFormat="1" applyFill="1" applyAlignment="1">
      <alignment horizontal="right" vertical="center"/>
    </xf>
    <xf numFmtId="165" fontId="13" fillId="7" borderId="0" xfId="0" applyNumberFormat="1" applyFont="1" applyFill="1" applyAlignment="1">
      <alignment horizontal="right" vertical="center"/>
    </xf>
    <xf numFmtId="0" fontId="43" fillId="7" borderId="53" xfId="0" applyFont="1" applyFill="1" applyBorder="1" applyAlignment="1">
      <alignment vertical="top" wrapText="1"/>
    </xf>
    <xf numFmtId="0" fontId="42" fillId="6" borderId="0" xfId="0" applyFont="1" applyFill="1" applyBorder="1" applyAlignment="1">
      <alignment horizontal="left" vertical="center" indent="2"/>
    </xf>
    <xf numFmtId="0" fontId="5" fillId="0" borderId="0" xfId="0" applyFont="1" applyAlignment="1">
      <alignment wrapText="1"/>
    </xf>
    <xf numFmtId="0" fontId="30" fillId="0" borderId="0" xfId="0" applyFont="1" applyAlignment="1">
      <alignment horizontal="left" vertical="center" indent="2"/>
    </xf>
    <xf numFmtId="0" fontId="0" fillId="0" borderId="0" xfId="0" applyAlignment="1">
      <alignment vertical="center"/>
    </xf>
    <xf numFmtId="9" fontId="4" fillId="13" borderId="0" xfId="1" applyNumberFormat="1" applyFont="1" applyFill="1" applyBorder="1" applyAlignment="1">
      <alignment horizontal="center" vertical="center"/>
    </xf>
    <xf numFmtId="0" fontId="4" fillId="0" borderId="55" xfId="0" applyFont="1" applyBorder="1" applyAlignment="1">
      <alignment horizontal="center" vertical="center"/>
    </xf>
    <xf numFmtId="0" fontId="4" fillId="4" borderId="56" xfId="0" applyFont="1" applyFill="1" applyBorder="1" applyAlignment="1">
      <alignment horizontal="left" vertical="center" indent="1"/>
    </xf>
    <xf numFmtId="9" fontId="4" fillId="4" borderId="58" xfId="1" applyFont="1" applyFill="1" applyBorder="1" applyAlignment="1" applyProtection="1">
      <alignment horizontal="center" vertical="center"/>
      <protection locked="0"/>
    </xf>
    <xf numFmtId="0" fontId="40" fillId="14" borderId="59" xfId="0" applyFont="1" applyFill="1" applyBorder="1" applyAlignment="1">
      <alignment horizontal="left" vertical="center" indent="1"/>
    </xf>
    <xf numFmtId="0" fontId="40" fillId="14" borderId="60" xfId="0" applyFont="1" applyFill="1" applyBorder="1" applyAlignment="1">
      <alignment horizontal="center" vertical="center"/>
    </xf>
    <xf numFmtId="0" fontId="4" fillId="4" borderId="61" xfId="0" applyFont="1" applyFill="1" applyBorder="1" applyAlignment="1">
      <alignment horizontal="left" vertical="center" indent="1"/>
    </xf>
    <xf numFmtId="0" fontId="4" fillId="7" borderId="62" xfId="0" applyFont="1" applyFill="1" applyBorder="1" applyAlignment="1" applyProtection="1">
      <alignment horizontal="center" vertical="center"/>
      <protection locked="0"/>
    </xf>
    <xf numFmtId="0" fontId="4" fillId="4" borderId="63" xfId="0" applyFont="1" applyFill="1" applyBorder="1" applyAlignment="1">
      <alignment horizontal="left" vertical="center" indent="1"/>
    </xf>
    <xf numFmtId="0" fontId="4" fillId="7" borderId="64" xfId="0" applyFont="1" applyFill="1" applyBorder="1" applyAlignment="1" applyProtection="1">
      <alignment horizontal="center" vertical="center"/>
      <protection locked="0"/>
    </xf>
    <xf numFmtId="0" fontId="4" fillId="4" borderId="65" xfId="0" applyFont="1" applyFill="1" applyBorder="1" applyAlignment="1">
      <alignment horizontal="left" vertical="center" indent="1"/>
    </xf>
    <xf numFmtId="9" fontId="4" fillId="7" borderId="66" xfId="0" applyNumberFormat="1" applyFont="1" applyFill="1" applyBorder="1" applyAlignment="1" applyProtection="1">
      <alignment horizontal="center" vertical="center"/>
      <protection locked="0"/>
    </xf>
    <xf numFmtId="0" fontId="4" fillId="4" borderId="69" xfId="0" applyFont="1" applyFill="1" applyBorder="1" applyAlignment="1">
      <alignment horizontal="left" vertical="center" indent="1"/>
    </xf>
    <xf numFmtId="0" fontId="4" fillId="7" borderId="70" xfId="0" applyFont="1" applyFill="1" applyBorder="1" applyAlignment="1" applyProtection="1">
      <alignment horizontal="center" vertical="center"/>
      <protection locked="0"/>
    </xf>
    <xf numFmtId="0" fontId="4" fillId="4" borderId="71" xfId="0" applyFont="1" applyFill="1" applyBorder="1" applyAlignment="1">
      <alignment horizontal="left" vertical="center" indent="1"/>
    </xf>
    <xf numFmtId="0" fontId="4" fillId="7" borderId="72" xfId="0" applyFont="1" applyFill="1" applyBorder="1" applyAlignment="1" applyProtection="1">
      <alignment horizontal="center" vertical="center"/>
      <protection locked="0"/>
    </xf>
    <xf numFmtId="9" fontId="4" fillId="7" borderId="72" xfId="1" applyFont="1" applyFill="1" applyBorder="1" applyAlignment="1" applyProtection="1">
      <alignment horizontal="center" vertical="center"/>
      <protection locked="0"/>
    </xf>
    <xf numFmtId="0" fontId="4" fillId="4" borderId="73" xfId="0" applyFont="1" applyFill="1" applyBorder="1" applyAlignment="1">
      <alignment horizontal="left" vertical="center" indent="1"/>
    </xf>
    <xf numFmtId="0" fontId="40" fillId="15" borderId="75" xfId="0" applyFont="1" applyFill="1" applyBorder="1" applyAlignment="1">
      <alignment horizontal="left" vertical="center" indent="1"/>
    </xf>
    <xf numFmtId="0" fontId="36" fillId="15" borderId="76" xfId="0" applyFont="1" applyFill="1" applyBorder="1" applyAlignment="1">
      <alignment horizontal="center" vertical="center"/>
    </xf>
    <xf numFmtId="0" fontId="4" fillId="4" borderId="77" xfId="0" applyFont="1" applyFill="1" applyBorder="1" applyAlignment="1">
      <alignment horizontal="left" vertical="center" indent="1"/>
    </xf>
    <xf numFmtId="9" fontId="4" fillId="7" borderId="78" xfId="0" applyNumberFormat="1" applyFont="1" applyFill="1" applyBorder="1" applyAlignment="1" applyProtection="1">
      <alignment horizontal="center" vertical="center"/>
      <protection locked="0"/>
    </xf>
    <xf numFmtId="0" fontId="4" fillId="4" borderId="79" xfId="0" applyFont="1" applyFill="1" applyBorder="1" applyAlignment="1">
      <alignment horizontal="left" vertical="center" indent="1"/>
    </xf>
    <xf numFmtId="9" fontId="4" fillId="7" borderId="80" xfId="0" applyNumberFormat="1" applyFont="1" applyFill="1" applyBorder="1" applyAlignment="1" applyProtection="1">
      <alignment horizontal="center" vertical="center"/>
      <protection locked="0"/>
    </xf>
    <xf numFmtId="0" fontId="4" fillId="4" borderId="81" xfId="0" applyFont="1" applyFill="1" applyBorder="1" applyAlignment="1">
      <alignment horizontal="left" vertical="center" indent="1"/>
    </xf>
    <xf numFmtId="9" fontId="4" fillId="7" borderId="82" xfId="0" applyNumberFormat="1" applyFont="1" applyFill="1" applyBorder="1" applyAlignment="1" applyProtection="1">
      <alignment horizontal="center" vertical="center"/>
      <protection locked="0"/>
    </xf>
    <xf numFmtId="9" fontId="4" fillId="7" borderId="70" xfId="1" applyFont="1" applyFill="1" applyBorder="1" applyAlignment="1" applyProtection="1">
      <alignment horizontal="center" vertical="center"/>
      <protection locked="0"/>
    </xf>
    <xf numFmtId="9" fontId="4" fillId="4" borderId="72" xfId="1" applyFont="1" applyFill="1" applyBorder="1" applyAlignment="1" applyProtection="1">
      <alignment horizontal="center" vertical="center"/>
      <protection locked="0"/>
    </xf>
    <xf numFmtId="9" fontId="4" fillId="4" borderId="74" xfId="1" applyFont="1" applyFill="1" applyBorder="1" applyAlignment="1" applyProtection="1">
      <alignment horizontal="center" vertical="center"/>
      <protection locked="0"/>
    </xf>
    <xf numFmtId="0" fontId="40" fillId="16" borderId="83" xfId="0" applyFont="1" applyFill="1" applyBorder="1" applyAlignment="1">
      <alignment horizontal="left" vertical="center" indent="1"/>
    </xf>
    <xf numFmtId="0" fontId="40" fillId="16" borderId="84" xfId="0" applyFont="1" applyFill="1" applyBorder="1" applyAlignment="1">
      <alignment horizontal="center" vertical="center"/>
    </xf>
    <xf numFmtId="0" fontId="4" fillId="4" borderId="85" xfId="0" applyFont="1" applyFill="1" applyBorder="1" applyAlignment="1">
      <alignment horizontal="left" vertical="center" indent="1"/>
    </xf>
    <xf numFmtId="0" fontId="4" fillId="7" borderId="86" xfId="0" applyFont="1" applyFill="1" applyBorder="1" applyAlignment="1" applyProtection="1">
      <alignment horizontal="center" vertical="center"/>
      <protection locked="0"/>
    </xf>
    <xf numFmtId="0" fontId="4" fillId="4" borderId="87" xfId="0" applyFont="1" applyFill="1" applyBorder="1" applyAlignment="1">
      <alignment horizontal="left" vertical="center" indent="1"/>
    </xf>
    <xf numFmtId="0" fontId="4" fillId="7" borderId="88" xfId="0" applyFont="1" applyFill="1" applyBorder="1" applyAlignment="1" applyProtection="1">
      <alignment horizontal="center" vertical="center"/>
      <protection locked="0"/>
    </xf>
    <xf numFmtId="0" fontId="4" fillId="4" borderId="89" xfId="0" applyFont="1" applyFill="1" applyBorder="1" applyAlignment="1" applyProtection="1">
      <alignment horizontal="left" vertical="center" indent="1"/>
      <protection locked="0"/>
    </xf>
    <xf numFmtId="0" fontId="4" fillId="7" borderId="90" xfId="0" applyFont="1" applyFill="1" applyBorder="1" applyAlignment="1" applyProtection="1">
      <alignment horizontal="center" vertical="center"/>
      <protection locked="0"/>
    </xf>
    <xf numFmtId="0" fontId="51" fillId="7" borderId="0" xfId="0" applyFont="1" applyFill="1" applyAlignment="1">
      <alignment horizontal="left" vertical="center" wrapText="1"/>
    </xf>
    <xf numFmtId="0" fontId="54" fillId="7" borderId="0" xfId="0" applyFont="1" applyFill="1" applyAlignment="1">
      <alignment vertical="center" wrapText="1"/>
    </xf>
    <xf numFmtId="165" fontId="58" fillId="7" borderId="0" xfId="0" applyNumberFormat="1" applyFont="1" applyFill="1" applyAlignment="1">
      <alignment horizontal="left" vertical="center"/>
    </xf>
    <xf numFmtId="0" fontId="4" fillId="6" borderId="0" xfId="0" applyFont="1" applyFill="1" applyBorder="1" applyAlignment="1">
      <alignment horizontal="center" vertical="center"/>
    </xf>
    <xf numFmtId="0" fontId="4" fillId="6" borderId="0" xfId="0" applyFont="1" applyFill="1" applyBorder="1"/>
    <xf numFmtId="0" fontId="4" fillId="6" borderId="0" xfId="0" applyFont="1" applyFill="1" applyBorder="1" applyAlignment="1">
      <alignment horizontal="left" indent="1"/>
    </xf>
    <xf numFmtId="0" fontId="4" fillId="6" borderId="0" xfId="0" applyFont="1" applyFill="1" applyBorder="1" applyAlignment="1">
      <alignment horizontal="center"/>
    </xf>
    <xf numFmtId="0" fontId="40" fillId="6" borderId="91" xfId="0" applyFont="1" applyFill="1" applyBorder="1" applyAlignment="1">
      <alignment horizontal="left" vertical="center" indent="1"/>
    </xf>
    <xf numFmtId="0" fontId="37" fillId="6" borderId="92" xfId="0" applyFont="1" applyFill="1" applyBorder="1" applyAlignment="1">
      <alignment horizontal="center" vertical="center"/>
    </xf>
    <xf numFmtId="0" fontId="38" fillId="4" borderId="93" xfId="0" applyFont="1" applyFill="1" applyBorder="1" applyAlignment="1">
      <alignment horizontal="left" vertical="center" indent="1"/>
    </xf>
    <xf numFmtId="0" fontId="38" fillId="7" borderId="94" xfId="0" applyFont="1" applyFill="1" applyBorder="1" applyAlignment="1" applyProtection="1">
      <alignment horizontal="center" vertical="center"/>
      <protection locked="0"/>
    </xf>
    <xf numFmtId="0" fontId="4" fillId="4" borderId="95" xfId="0" applyFont="1" applyFill="1" applyBorder="1" applyAlignment="1">
      <alignment horizontal="left" vertical="center" indent="1"/>
    </xf>
    <xf numFmtId="0" fontId="39" fillId="7" borderId="96" xfId="0" applyFont="1" applyFill="1" applyBorder="1" applyAlignment="1" applyProtection="1">
      <alignment horizontal="center" vertical="center"/>
      <protection locked="0"/>
    </xf>
    <xf numFmtId="0" fontId="4" fillId="7" borderId="96" xfId="0" applyFont="1" applyFill="1" applyBorder="1" applyAlignment="1" applyProtection="1">
      <alignment horizontal="center" vertical="center"/>
      <protection locked="0"/>
    </xf>
    <xf numFmtId="15" fontId="4" fillId="7" borderId="96" xfId="0" applyNumberFormat="1" applyFont="1" applyFill="1" applyBorder="1" applyAlignment="1" applyProtection="1">
      <alignment horizontal="center" vertical="center"/>
      <protection locked="0"/>
    </xf>
    <xf numFmtId="9" fontId="4" fillId="7" borderId="96" xfId="1" applyFont="1" applyFill="1" applyBorder="1" applyAlignment="1" applyProtection="1">
      <alignment horizontal="center" vertical="center"/>
      <protection locked="0"/>
    </xf>
    <xf numFmtId="9" fontId="4" fillId="4" borderId="96" xfId="1" applyFont="1" applyFill="1" applyBorder="1" applyAlignment="1" applyProtection="1">
      <alignment horizontal="center" vertical="center"/>
      <protection locked="0"/>
    </xf>
    <xf numFmtId="1" fontId="4" fillId="7" borderId="96" xfId="1" applyNumberFormat="1" applyFont="1" applyFill="1" applyBorder="1" applyAlignment="1" applyProtection="1">
      <alignment horizontal="center" vertical="center"/>
      <protection locked="0"/>
    </xf>
    <xf numFmtId="0" fontId="4" fillId="4" borderId="97" xfId="0" applyFont="1" applyFill="1" applyBorder="1" applyAlignment="1">
      <alignment horizontal="left" vertical="center" indent="1"/>
    </xf>
    <xf numFmtId="0" fontId="4" fillId="0" borderId="0" xfId="0" applyFont="1" applyBorder="1" applyAlignment="1">
      <alignment vertical="center"/>
    </xf>
    <xf numFmtId="0" fontId="2" fillId="0" borderId="99" xfId="0" applyFont="1" applyBorder="1" applyAlignment="1">
      <alignment vertical="center"/>
    </xf>
    <xf numFmtId="0" fontId="2" fillId="0" borderId="100" xfId="0" applyFont="1" applyBorder="1" applyAlignment="1">
      <alignment vertical="center"/>
    </xf>
    <xf numFmtId="0" fontId="0" fillId="0" borderId="100" xfId="0" applyBorder="1" applyAlignment="1">
      <alignment vertical="center"/>
    </xf>
    <xf numFmtId="0" fontId="41" fillId="0" borderId="100" xfId="0" applyFont="1" applyBorder="1" applyAlignment="1">
      <alignment vertical="center" wrapText="1"/>
    </xf>
    <xf numFmtId="0" fontId="0" fillId="0" borderId="101" xfId="0" applyBorder="1"/>
    <xf numFmtId="0" fontId="0" fillId="0" borderId="102" xfId="0" applyBorder="1"/>
    <xf numFmtId="0" fontId="0" fillId="7" borderId="103" xfId="0" applyFill="1" applyBorder="1"/>
    <xf numFmtId="0" fontId="0" fillId="7" borderId="104" xfId="0" applyFill="1" applyBorder="1"/>
    <xf numFmtId="0" fontId="2" fillId="0" borderId="103" xfId="0" applyFont="1" applyBorder="1"/>
    <xf numFmtId="0" fontId="2" fillId="0" borderId="104" xfId="0" applyFont="1" applyBorder="1"/>
    <xf numFmtId="0" fontId="2" fillId="0" borderId="103" xfId="0" applyFont="1" applyBorder="1" applyAlignment="1">
      <alignment vertical="center"/>
    </xf>
    <xf numFmtId="0" fontId="2" fillId="0" borderId="104" xfId="0" applyFont="1" applyBorder="1" applyAlignment="1">
      <alignment vertical="center"/>
    </xf>
    <xf numFmtId="0" fontId="12" fillId="0" borderId="103" xfId="0" applyFont="1" applyBorder="1" applyAlignment="1">
      <alignment horizontal="left" vertical="center" indent="2"/>
    </xf>
    <xf numFmtId="0" fontId="12" fillId="0" borderId="104" xfId="0" applyFont="1" applyBorder="1" applyAlignment="1">
      <alignment horizontal="left" vertical="center" indent="2"/>
    </xf>
    <xf numFmtId="0" fontId="0" fillId="0" borderId="104" xfId="0" applyBorder="1"/>
    <xf numFmtId="0" fontId="0" fillId="0" borderId="103" xfId="0" applyBorder="1"/>
    <xf numFmtId="0" fontId="5" fillId="0" borderId="103" xfId="0" applyFont="1" applyBorder="1" applyAlignment="1">
      <alignment wrapText="1"/>
    </xf>
    <xf numFmtId="0" fontId="5" fillId="0" borderId="104" xfId="0" applyFont="1" applyBorder="1" applyAlignment="1">
      <alignment wrapText="1"/>
    </xf>
    <xf numFmtId="0" fontId="5" fillId="0" borderId="103" xfId="0" applyFont="1" applyBorder="1"/>
    <xf numFmtId="0" fontId="5" fillId="0" borderId="104" xfId="0" applyFont="1" applyBorder="1"/>
    <xf numFmtId="0" fontId="0" fillId="0" borderId="105" xfId="0" applyBorder="1"/>
    <xf numFmtId="0" fontId="0" fillId="7" borderId="106" xfId="0" applyFill="1" applyBorder="1"/>
    <xf numFmtId="0" fontId="0" fillId="0" borderId="106" xfId="0" applyBorder="1"/>
    <xf numFmtId="0" fontId="0" fillId="0" borderId="103" xfId="0" applyBorder="1" applyAlignment="1">
      <alignment vertical="center"/>
    </xf>
    <xf numFmtId="0" fontId="0" fillId="0" borderId="106" xfId="0" applyBorder="1" applyAlignment="1">
      <alignment vertical="center"/>
    </xf>
    <xf numFmtId="0" fontId="0" fillId="0" borderId="104" xfId="0" applyBorder="1" applyAlignment="1">
      <alignment vertical="center"/>
    </xf>
    <xf numFmtId="0" fontId="0" fillId="0" borderId="107" xfId="0" applyBorder="1"/>
    <xf numFmtId="0" fontId="0" fillId="0" borderId="108" xfId="0" applyBorder="1"/>
    <xf numFmtId="0" fontId="0" fillId="0" borderId="109" xfId="0" applyBorder="1"/>
    <xf numFmtId="0" fontId="12" fillId="0" borderId="99" xfId="0" applyFont="1" applyBorder="1" applyAlignment="1">
      <alignment horizontal="left" vertical="center" indent="2"/>
    </xf>
    <xf numFmtId="0" fontId="0" fillId="0" borderId="100" xfId="0" applyBorder="1"/>
    <xf numFmtId="0" fontId="2" fillId="0" borderId="100" xfId="0" applyFont="1" applyBorder="1"/>
    <xf numFmtId="0" fontId="2" fillId="0" borderId="105" xfId="0" applyFont="1" applyBorder="1"/>
    <xf numFmtId="0" fontId="0" fillId="0" borderId="99" xfId="0" applyBorder="1"/>
    <xf numFmtId="0" fontId="2" fillId="0" borderId="106" xfId="0" applyFont="1" applyBorder="1"/>
    <xf numFmtId="0" fontId="12" fillId="0" borderId="106" xfId="0" applyFont="1" applyBorder="1" applyAlignment="1">
      <alignment horizontal="left" vertical="center" indent="2"/>
    </xf>
    <xf numFmtId="0" fontId="30" fillId="0" borderId="103" xfId="0" applyFont="1" applyBorder="1" applyAlignment="1">
      <alignment horizontal="left" vertical="center" indent="2"/>
    </xf>
    <xf numFmtId="0" fontId="30" fillId="0" borderId="106" xfId="0" applyFont="1" applyBorder="1" applyAlignment="1">
      <alignment horizontal="left" vertical="center" indent="2"/>
    </xf>
    <xf numFmtId="0" fontId="0" fillId="0" borderId="101" xfId="0" applyBorder="1" applyAlignment="1">
      <alignment horizontal="left" indent="2"/>
    </xf>
    <xf numFmtId="0" fontId="0" fillId="0" borderId="105" xfId="0" applyBorder="1" applyAlignment="1">
      <alignment horizontal="left" indent="2"/>
    </xf>
    <xf numFmtId="0" fontId="9" fillId="0" borderId="103" xfId="0" applyFont="1" applyBorder="1"/>
    <xf numFmtId="0" fontId="9" fillId="0" borderId="106" xfId="0" applyFont="1" applyBorder="1"/>
    <xf numFmtId="0" fontId="11" fillId="0" borderId="103" xfId="0" applyFont="1" applyBorder="1"/>
    <xf numFmtId="0" fontId="11" fillId="0" borderId="106" xfId="0" applyFont="1" applyBorder="1"/>
    <xf numFmtId="0" fontId="0" fillId="0" borderId="102" xfId="0" applyBorder="1" applyAlignment="1">
      <alignment horizontal="left" indent="2"/>
    </xf>
    <xf numFmtId="0" fontId="3" fillId="0" borderId="108" xfId="0" applyFont="1" applyBorder="1"/>
    <xf numFmtId="0" fontId="3" fillId="0" borderId="109" xfId="0" applyFont="1" applyBorder="1"/>
    <xf numFmtId="0" fontId="0" fillId="0" borderId="101" xfId="0" applyBorder="1" applyAlignment="1">
      <alignment vertical="center"/>
    </xf>
    <xf numFmtId="0" fontId="0" fillId="0" borderId="105" xfId="0" applyBorder="1" applyAlignment="1">
      <alignment vertical="center"/>
    </xf>
    <xf numFmtId="0" fontId="0" fillId="0" borderId="102" xfId="0" applyBorder="1" applyAlignment="1">
      <alignment vertical="center"/>
    </xf>
    <xf numFmtId="0" fontId="18" fillId="0" borderId="103" xfId="0" applyFont="1" applyBorder="1" applyAlignment="1">
      <alignment vertical="center"/>
    </xf>
    <xf numFmtId="0" fontId="18" fillId="0" borderId="106" xfId="0" applyFont="1" applyBorder="1" applyAlignment="1">
      <alignment vertical="center"/>
    </xf>
    <xf numFmtId="0" fontId="2" fillId="0" borderId="106" xfId="0" applyFont="1" applyBorder="1" applyAlignment="1">
      <alignment vertical="center"/>
    </xf>
    <xf numFmtId="9" fontId="0" fillId="0" borderId="106" xfId="1" applyFont="1" applyBorder="1" applyAlignment="1">
      <alignment vertical="center"/>
    </xf>
    <xf numFmtId="9" fontId="2" fillId="0" borderId="106" xfId="1" applyFont="1" applyBorder="1" applyAlignment="1">
      <alignment vertical="center"/>
    </xf>
    <xf numFmtId="0" fontId="29" fillId="0" borderId="103" xfId="0" applyFont="1" applyBorder="1" applyAlignment="1">
      <alignment vertical="center"/>
    </xf>
    <xf numFmtId="0" fontId="29" fillId="0" borderId="106" xfId="0" applyFont="1" applyBorder="1" applyAlignment="1">
      <alignment vertical="center"/>
    </xf>
    <xf numFmtId="0" fontId="23" fillId="0" borderId="103" xfId="0" applyFont="1" applyBorder="1" applyAlignment="1">
      <alignment vertical="center"/>
    </xf>
    <xf numFmtId="0" fontId="23" fillId="0" borderId="106" xfId="0" applyFont="1" applyBorder="1" applyAlignment="1">
      <alignment vertical="center"/>
    </xf>
    <xf numFmtId="0" fontId="23" fillId="0" borderId="106" xfId="0" applyFont="1" applyBorder="1" applyAlignment="1">
      <alignment horizontal="left" vertical="center"/>
    </xf>
    <xf numFmtId="0" fontId="5" fillId="0" borderId="103" xfId="0" applyFont="1" applyBorder="1" applyAlignment="1">
      <alignment vertical="center"/>
    </xf>
    <xf numFmtId="0" fontId="5" fillId="0" borderId="106" xfId="0" applyFont="1" applyBorder="1" applyAlignment="1">
      <alignment vertical="center"/>
    </xf>
    <xf numFmtId="0" fontId="3" fillId="0" borderId="103" xfId="0" applyFont="1" applyBorder="1" applyAlignment="1">
      <alignment vertical="center"/>
    </xf>
    <xf numFmtId="0" fontId="3" fillId="0" borderId="106" xfId="0" applyFont="1" applyBorder="1" applyAlignment="1">
      <alignment vertical="center"/>
    </xf>
    <xf numFmtId="0" fontId="10" fillId="0" borderId="106" xfId="0" applyFont="1" applyBorder="1" applyAlignment="1">
      <alignment vertical="center"/>
    </xf>
    <xf numFmtId="0" fontId="0" fillId="0" borderId="103" xfId="1" applyNumberFormat="1" applyFont="1" applyBorder="1" applyAlignment="1">
      <alignment horizontal="center" vertical="center"/>
    </xf>
    <xf numFmtId="0" fontId="0" fillId="0" borderId="106" xfId="1" applyNumberFormat="1" applyFont="1" applyBorder="1" applyAlignment="1">
      <alignment horizontal="center" vertical="center"/>
    </xf>
    <xf numFmtId="166" fontId="0" fillId="0" borderId="106" xfId="0" applyNumberFormat="1" applyBorder="1" applyAlignment="1">
      <alignment vertical="center"/>
    </xf>
    <xf numFmtId="0" fontId="2" fillId="0" borderId="103" xfId="0" applyFont="1" applyBorder="1" applyAlignment="1">
      <alignment horizontal="center" vertical="center"/>
    </xf>
    <xf numFmtId="0" fontId="2" fillId="0" borderId="106" xfId="0" applyFont="1" applyBorder="1" applyAlignment="1">
      <alignment horizontal="center" vertical="center"/>
    </xf>
    <xf numFmtId="165" fontId="0" fillId="0" borderId="106" xfId="0" applyNumberFormat="1"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0" fontId="4" fillId="0" borderId="105" xfId="0" applyFont="1" applyBorder="1" applyAlignment="1">
      <alignment horizontal="center" vertical="center"/>
    </xf>
    <xf numFmtId="0" fontId="19" fillId="7" borderId="106" xfId="0" applyFont="1" applyFill="1" applyBorder="1" applyAlignment="1">
      <alignment vertical="center"/>
    </xf>
    <xf numFmtId="0" fontId="0" fillId="7" borderId="106" xfId="0" applyFill="1" applyBorder="1" applyAlignment="1">
      <alignment vertical="center"/>
    </xf>
    <xf numFmtId="0" fontId="2" fillId="0" borderId="106" xfId="0" applyFont="1" applyBorder="1" applyAlignment="1">
      <alignment vertical="center" wrapText="1"/>
    </xf>
    <xf numFmtId="0" fontId="4" fillId="0" borderId="106" xfId="0" applyFont="1" applyBorder="1" applyAlignment="1">
      <alignment vertical="center"/>
    </xf>
    <xf numFmtId="0" fontId="8" fillId="0" borderId="106" xfId="0" applyFont="1" applyBorder="1" applyAlignment="1">
      <alignment vertical="center" wrapText="1"/>
    </xf>
    <xf numFmtId="0" fontId="8" fillId="0" borderId="106" xfId="0" applyFont="1" applyBorder="1" applyAlignment="1">
      <alignment vertical="center"/>
    </xf>
    <xf numFmtId="0" fontId="18" fillId="7" borderId="106" xfId="0" applyFont="1" applyFill="1" applyBorder="1" applyAlignment="1">
      <alignment vertical="center"/>
    </xf>
    <xf numFmtId="0" fontId="2" fillId="7" borderId="106" xfId="0" applyFont="1" applyFill="1" applyBorder="1" applyAlignment="1">
      <alignment vertical="center"/>
    </xf>
    <xf numFmtId="0" fontId="3" fillId="0" borderId="106" xfId="0" applyFont="1" applyBorder="1" applyAlignment="1">
      <alignment vertical="center" wrapText="1"/>
    </xf>
    <xf numFmtId="0" fontId="0" fillId="0" borderId="106" xfId="0" applyBorder="1" applyAlignment="1">
      <alignment vertical="center" wrapText="1"/>
    </xf>
    <xf numFmtId="10" fontId="4" fillId="0" borderId="106" xfId="0" applyNumberFormat="1" applyFont="1" applyBorder="1" applyAlignment="1">
      <alignment horizontal="center" vertical="center"/>
    </xf>
    <xf numFmtId="0" fontId="50" fillId="0" borderId="106" xfId="0" applyFont="1" applyBorder="1" applyAlignment="1">
      <alignment horizontal="center" vertical="center" readingOrder="1"/>
    </xf>
    <xf numFmtId="6" fontId="4" fillId="0" borderId="106" xfId="0" applyNumberFormat="1" applyFont="1" applyBorder="1" applyAlignment="1">
      <alignment horizontal="center" vertical="center"/>
    </xf>
    <xf numFmtId="165" fontId="4" fillId="0" borderId="106" xfId="1" applyNumberFormat="1" applyFont="1" applyBorder="1" applyAlignment="1">
      <alignment horizontal="center" vertical="center"/>
    </xf>
    <xf numFmtId="0" fontId="41" fillId="0" borderId="106" xfId="0" applyFont="1" applyBorder="1" applyAlignment="1">
      <alignment vertical="center"/>
    </xf>
    <xf numFmtId="0" fontId="0" fillId="0" borderId="106" xfId="0" applyBorder="1" applyAlignment="1">
      <alignment horizontal="center" vertical="center"/>
    </xf>
    <xf numFmtId="0" fontId="7" fillId="0" borderId="106" xfId="0" applyFont="1" applyBorder="1" applyAlignment="1">
      <alignment vertical="center"/>
    </xf>
    <xf numFmtId="165" fontId="0" fillId="0" borderId="106" xfId="1" applyNumberFormat="1" applyFont="1" applyBorder="1" applyAlignment="1">
      <alignment horizontal="center" vertical="center"/>
    </xf>
    <xf numFmtId="165" fontId="0" fillId="0" borderId="106" xfId="0" applyNumberFormat="1" applyBorder="1" applyAlignment="1">
      <alignment horizontal="center" vertical="center"/>
    </xf>
    <xf numFmtId="49" fontId="5" fillId="0" borderId="106" xfId="0" applyNumberFormat="1" applyFont="1" applyBorder="1" applyAlignment="1">
      <alignment vertical="center"/>
    </xf>
    <xf numFmtId="0" fontId="0" fillId="0" borderId="106" xfId="0" applyFill="1" applyBorder="1" applyAlignment="1">
      <alignment vertical="center"/>
    </xf>
    <xf numFmtId="0" fontId="0" fillId="0" borderId="105" xfId="0" applyBorder="1" applyAlignment="1">
      <alignment vertical="center" wrapText="1"/>
    </xf>
    <xf numFmtId="0" fontId="0" fillId="7" borderId="104" xfId="0" applyFill="1" applyBorder="1" applyAlignment="1">
      <alignment vertical="center"/>
    </xf>
    <xf numFmtId="0" fontId="4" fillId="0" borderId="104"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0" fillId="0" borderId="104" xfId="0" applyBorder="1" applyAlignment="1">
      <alignment vertical="center" wrapText="1"/>
    </xf>
    <xf numFmtId="0" fontId="0" fillId="3" borderId="0" xfId="0" applyFill="1" applyBorder="1" applyAlignment="1">
      <alignment vertical="center"/>
    </xf>
    <xf numFmtId="0" fontId="0" fillId="0" borderId="0" xfId="0" applyBorder="1" applyAlignment="1">
      <alignment vertical="center" wrapText="1"/>
    </xf>
    <xf numFmtId="0" fontId="59" fillId="4" borderId="54" xfId="3" applyFont="1" applyFill="1" applyBorder="1" applyAlignment="1">
      <alignment horizontal="center" vertical="center" indent="1"/>
    </xf>
    <xf numFmtId="0" fontId="59" fillId="4" borderId="5" xfId="3" applyFont="1" applyFill="1" applyBorder="1" applyAlignment="1">
      <alignment horizontal="left" vertical="center" indent="1"/>
    </xf>
    <xf numFmtId="166" fontId="12" fillId="4" borderId="26" xfId="2" applyNumberFormat="1" applyFont="1" applyFill="1" applyBorder="1" applyAlignment="1">
      <alignment horizontal="center" vertical="center"/>
    </xf>
    <xf numFmtId="0" fontId="41" fillId="0" borderId="100" xfId="0" applyFont="1" applyBorder="1" applyAlignment="1">
      <alignment vertical="center"/>
    </xf>
    <xf numFmtId="9" fontId="4" fillId="4" borderId="20" xfId="0" applyNumberFormat="1" applyFont="1" applyFill="1" applyBorder="1" applyAlignment="1">
      <alignment horizontal="center" vertical="center"/>
    </xf>
    <xf numFmtId="10" fontId="4" fillId="4" borderId="16" xfId="0" applyNumberFormat="1" applyFont="1" applyFill="1" applyBorder="1" applyAlignment="1">
      <alignment horizontal="center" vertical="center"/>
    </xf>
    <xf numFmtId="2" fontId="4" fillId="4" borderId="18" xfId="0" applyNumberFormat="1" applyFont="1" applyFill="1" applyBorder="1" applyAlignment="1">
      <alignment horizontal="center" vertical="center"/>
    </xf>
    <xf numFmtId="0" fontId="21" fillId="10" borderId="0" xfId="0" applyFont="1" applyFill="1" applyAlignment="1">
      <alignment horizontal="center" vertical="center" wrapText="1"/>
    </xf>
    <xf numFmtId="165" fontId="21" fillId="10" borderId="0" xfId="0" applyNumberFormat="1" applyFont="1" applyFill="1" applyAlignment="1">
      <alignment horizontal="center" vertical="center" wrapText="1"/>
    </xf>
    <xf numFmtId="0" fontId="60" fillId="10" borderId="0" xfId="0" applyFont="1" applyFill="1" applyAlignment="1">
      <alignment vertical="center"/>
    </xf>
    <xf numFmtId="9" fontId="39" fillId="7" borderId="6" xfId="1"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9" fontId="4" fillId="4" borderId="10" xfId="1" applyNumberFormat="1" applyFont="1" applyFill="1" applyBorder="1" applyAlignment="1" applyProtection="1">
      <alignment horizontal="center" vertical="center"/>
      <protection locked="0"/>
    </xf>
    <xf numFmtId="9" fontId="39" fillId="13" borderId="57" xfId="1" applyFont="1" applyFill="1" applyBorder="1" applyAlignment="1" applyProtection="1">
      <alignment horizontal="center" vertical="center"/>
      <protection locked="0"/>
    </xf>
    <xf numFmtId="0" fontId="27" fillId="4" borderId="95" xfId="3" applyFill="1" applyBorder="1" applyAlignment="1" applyProtection="1">
      <alignment horizontal="left" vertical="center" indent="1"/>
      <protection locked="0"/>
    </xf>
    <xf numFmtId="0" fontId="4" fillId="4" borderId="96" xfId="0" applyFont="1" applyFill="1" applyBorder="1" applyAlignment="1" applyProtection="1">
      <alignment horizontal="center" vertical="center"/>
    </xf>
    <xf numFmtId="9" fontId="0" fillId="4" borderId="110" xfId="1" applyFont="1" applyFill="1" applyBorder="1" applyAlignment="1">
      <alignment horizontal="center" vertical="center"/>
    </xf>
    <xf numFmtId="9" fontId="0" fillId="4" borderId="111" xfId="1" applyFont="1" applyFill="1" applyBorder="1" applyAlignment="1">
      <alignment horizontal="center" vertical="center"/>
    </xf>
    <xf numFmtId="0" fontId="0" fillId="4" borderId="112" xfId="0" applyFill="1" applyBorder="1" applyAlignment="1">
      <alignment vertical="center"/>
    </xf>
    <xf numFmtId="0" fontId="0" fillId="7" borderId="113" xfId="0" applyFill="1" applyBorder="1" applyAlignment="1">
      <alignment horizontal="right" vertical="center"/>
    </xf>
    <xf numFmtId="0" fontId="0" fillId="7" borderId="113" xfId="0" applyFill="1" applyBorder="1" applyAlignment="1">
      <alignment vertical="center"/>
    </xf>
    <xf numFmtId="10" fontId="2" fillId="4" borderId="114" xfId="1" applyNumberFormat="1" applyFont="1" applyFill="1" applyBorder="1" applyAlignment="1">
      <alignment horizontal="center" vertical="center"/>
    </xf>
    <xf numFmtId="10" fontId="0" fillId="4" borderId="115" xfId="1" applyNumberFormat="1" applyFont="1" applyFill="1" applyBorder="1" applyAlignment="1">
      <alignment horizontal="center" vertical="center"/>
    </xf>
    <xf numFmtId="0" fontId="21" fillId="10" borderId="116" xfId="0" applyFont="1" applyFill="1" applyBorder="1" applyAlignment="1">
      <alignment horizontal="left" vertical="center"/>
    </xf>
    <xf numFmtId="0" fontId="21" fillId="7" borderId="113" xfId="0" applyFont="1" applyFill="1" applyBorder="1" applyAlignment="1">
      <alignment horizontal="left" vertical="center"/>
    </xf>
    <xf numFmtId="0" fontId="3" fillId="7" borderId="113" xfId="0" applyFont="1" applyFill="1" applyBorder="1" applyAlignment="1">
      <alignment vertical="center"/>
    </xf>
    <xf numFmtId="0" fontId="0" fillId="7" borderId="118" xfId="0" applyFill="1" applyBorder="1" applyAlignment="1">
      <alignment vertical="center"/>
    </xf>
    <xf numFmtId="0" fontId="3" fillId="10" borderId="117" xfId="0" applyFont="1" applyFill="1" applyBorder="1" applyAlignment="1">
      <alignment vertical="center"/>
    </xf>
    <xf numFmtId="10" fontId="0" fillId="4" borderId="12" xfId="1" applyNumberFormat="1" applyFont="1" applyFill="1" applyBorder="1" applyAlignment="1">
      <alignment horizontal="center" vertical="center"/>
    </xf>
    <xf numFmtId="9" fontId="0" fillId="4" borderId="119" xfId="1" applyFont="1" applyFill="1" applyBorder="1" applyAlignment="1">
      <alignment horizontal="center" vertical="center"/>
    </xf>
    <xf numFmtId="10" fontId="2" fillId="4" borderId="120" xfId="1" applyNumberFormat="1" applyFont="1" applyFill="1" applyBorder="1" applyAlignment="1">
      <alignment horizontal="center" vertical="center"/>
    </xf>
    <xf numFmtId="10" fontId="0" fillId="4" borderId="121" xfId="1" applyNumberFormat="1" applyFont="1" applyFill="1" applyBorder="1" applyAlignment="1">
      <alignment horizontal="center" vertical="center"/>
    </xf>
    <xf numFmtId="0" fontId="0" fillId="10" borderId="0" xfId="0" applyFill="1" applyAlignment="1">
      <alignment horizontal="left" vertical="center" indent="2"/>
    </xf>
    <xf numFmtId="166" fontId="4" fillId="7" borderId="96" xfId="0" applyNumberFormat="1" applyFont="1" applyFill="1" applyBorder="1" applyAlignment="1" applyProtection="1">
      <alignment horizontal="center" vertical="center"/>
      <protection locked="0"/>
    </xf>
    <xf numFmtId="49" fontId="4" fillId="7" borderId="98" xfId="0" applyNumberFormat="1" applyFont="1" applyFill="1" applyBorder="1" applyAlignment="1" applyProtection="1">
      <alignment horizontal="center" vertical="center"/>
      <protection locked="0"/>
    </xf>
    <xf numFmtId="0" fontId="55" fillId="7" borderId="0" xfId="0" applyFont="1" applyFill="1" applyAlignment="1">
      <alignment vertical="center" wrapText="1"/>
    </xf>
    <xf numFmtId="0" fontId="61" fillId="3" borderId="0" xfId="0" applyFont="1" applyFill="1" applyAlignment="1">
      <alignment horizontal="left" vertical="center" indent="2"/>
    </xf>
    <xf numFmtId="0" fontId="4" fillId="4" borderId="122" xfId="0" applyFont="1" applyFill="1" applyBorder="1" applyAlignment="1">
      <alignment horizontal="left" vertical="center" indent="1"/>
    </xf>
    <xf numFmtId="0" fontId="4" fillId="7" borderId="123" xfId="0" applyFont="1" applyFill="1" applyBorder="1" applyAlignment="1" applyProtection="1">
      <alignment horizontal="center" vertical="center"/>
      <protection locked="0"/>
    </xf>
    <xf numFmtId="0" fontId="41" fillId="7" borderId="0" xfId="0" applyFont="1" applyFill="1" applyAlignment="1">
      <alignment horizontal="left" vertical="center" indent="1"/>
    </xf>
    <xf numFmtId="0" fontId="62" fillId="7" borderId="0" xfId="0" applyFont="1" applyFill="1"/>
    <xf numFmtId="0" fontId="5" fillId="0" borderId="0" xfId="0" applyFont="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xf>
    <xf numFmtId="0" fontId="4" fillId="0" borderId="0" xfId="0" applyFont="1" applyAlignment="1">
      <alignment vertical="center" wrapText="1"/>
    </xf>
    <xf numFmtId="0" fontId="4" fillId="0" borderId="0" xfId="0" applyFont="1" applyAlignment="1">
      <alignment vertical="center"/>
    </xf>
    <xf numFmtId="0" fontId="29" fillId="11" borderId="0" xfId="0" applyFont="1" applyFill="1" applyAlignment="1">
      <alignment horizontal="left" vertical="center" wrapText="1" indent="2"/>
    </xf>
    <xf numFmtId="0" fontId="29" fillId="11" borderId="0" xfId="0" applyFont="1" applyFill="1" applyAlignment="1">
      <alignment horizontal="left" vertical="center" indent="2"/>
    </xf>
    <xf numFmtId="0" fontId="0" fillId="0" borderId="106" xfId="0" applyBorder="1" applyAlignment="1">
      <alignment vertical="center"/>
    </xf>
    <xf numFmtId="0" fontId="0" fillId="0" borderId="0" xfId="0" applyAlignment="1">
      <alignment horizontal="center" vertical="center"/>
    </xf>
    <xf numFmtId="0" fontId="0" fillId="0" borderId="105" xfId="0" applyBorder="1" applyAlignment="1">
      <alignment vertical="center"/>
    </xf>
    <xf numFmtId="0" fontId="41" fillId="0" borderId="0" xfId="0" applyFont="1" applyBorder="1" applyAlignment="1">
      <alignment vertical="center"/>
    </xf>
    <xf numFmtId="10" fontId="4" fillId="4" borderId="14" xfId="1" applyNumberFormat="1" applyFont="1" applyFill="1" applyBorder="1" applyAlignment="1">
      <alignment horizontal="center" vertical="center"/>
    </xf>
    <xf numFmtId="0" fontId="15" fillId="7" borderId="0" xfId="0" applyFont="1" applyFill="1" applyBorder="1" applyAlignment="1">
      <alignment horizontal="center" vertical="center" wrapText="1"/>
    </xf>
    <xf numFmtId="0" fontId="40" fillId="5" borderId="3" xfId="0" applyFont="1" applyFill="1" applyBorder="1" applyAlignment="1">
      <alignment horizontal="left" vertical="center" indent="1"/>
    </xf>
    <xf numFmtId="0" fontId="40" fillId="5" borderId="4" xfId="0" applyFont="1" applyFill="1" applyBorder="1" applyAlignment="1">
      <alignment horizontal="left" vertical="center" indent="1"/>
    </xf>
    <xf numFmtId="0" fontId="40" fillId="18" borderId="1" xfId="0" applyFont="1" applyFill="1" applyBorder="1" applyAlignment="1">
      <alignment horizontal="left" vertical="center" indent="1"/>
    </xf>
    <xf numFmtId="0" fontId="40" fillId="18" borderId="2" xfId="0" applyFont="1" applyFill="1" applyBorder="1" applyAlignment="1">
      <alignment horizontal="left" vertical="center" indent="1"/>
    </xf>
    <xf numFmtId="0" fontId="40" fillId="17" borderId="67" xfId="0" applyFont="1" applyFill="1" applyBorder="1" applyAlignment="1">
      <alignment horizontal="left" vertical="center" indent="1"/>
    </xf>
    <xf numFmtId="0" fontId="40" fillId="17" borderId="68" xfId="0" applyFont="1" applyFill="1" applyBorder="1" applyAlignment="1">
      <alignment horizontal="left" vertical="center" indent="1"/>
    </xf>
    <xf numFmtId="0" fontId="5" fillId="0" borderId="0" xfId="0" applyFont="1" applyAlignment="1">
      <alignment horizontal="center" vertical="center"/>
    </xf>
    <xf numFmtId="0" fontId="5" fillId="2" borderId="0" xfId="0" applyFont="1" applyFill="1" applyAlignment="1">
      <alignment horizontal="center" vertical="center"/>
    </xf>
    <xf numFmtId="0" fontId="0" fillId="0" borderId="103" xfId="0" applyBorder="1" applyAlignment="1">
      <alignment horizontal="left" wrapText="1"/>
    </xf>
    <xf numFmtId="0" fontId="0" fillId="0" borderId="106" xfId="0" applyBorder="1" applyAlignment="1">
      <alignment horizontal="left" wrapText="1"/>
    </xf>
    <xf numFmtId="0" fontId="0" fillId="0" borderId="104" xfId="0" applyBorder="1" applyAlignment="1">
      <alignment horizontal="left" wrapText="1"/>
    </xf>
    <xf numFmtId="0" fontId="3" fillId="2" borderId="0" xfId="0" applyFont="1" applyFill="1" applyAlignment="1">
      <alignment horizontal="center"/>
    </xf>
    <xf numFmtId="0" fontId="12" fillId="0" borderId="104" xfId="0" applyFont="1" applyBorder="1" applyAlignment="1">
      <alignment horizontal="center" vertical="center"/>
    </xf>
    <xf numFmtId="0" fontId="12" fillId="0" borderId="100" xfId="0" applyFont="1" applyBorder="1" applyAlignment="1">
      <alignment horizontal="center" vertical="center"/>
    </xf>
    <xf numFmtId="0" fontId="12" fillId="0" borderId="103" xfId="0" applyFont="1" applyBorder="1" applyAlignment="1">
      <alignment horizontal="center" vertical="center"/>
    </xf>
    <xf numFmtId="0" fontId="30" fillId="0" borderId="0" xfId="0" applyFont="1" applyBorder="1" applyAlignment="1">
      <alignment horizontal="left" vertical="center" indent="2"/>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horizontal="left" vertical="center" wrapText="1" indent="1"/>
    </xf>
    <xf numFmtId="0" fontId="29" fillId="11" borderId="0" xfId="0" applyFont="1" applyFill="1" applyAlignment="1">
      <alignment horizontal="left" vertical="center" wrapText="1" indent="2"/>
    </xf>
    <xf numFmtId="0" fontId="29" fillId="11" borderId="0" xfId="0" applyFont="1" applyFill="1" applyAlignment="1">
      <alignment horizontal="left" vertical="center" indent="2"/>
    </xf>
    <xf numFmtId="0" fontId="0" fillId="2" borderId="0" xfId="0" applyFill="1" applyAlignment="1">
      <alignment horizontal="center" vertical="center" wrapText="1"/>
    </xf>
    <xf numFmtId="0" fontId="0" fillId="2" borderId="0" xfId="0" applyFill="1" applyAlignment="1">
      <alignment horizontal="center" wrapText="1"/>
    </xf>
    <xf numFmtId="0" fontId="55" fillId="7" borderId="0" xfId="0" applyFont="1" applyFill="1" applyAlignment="1">
      <alignment horizontal="center" vertical="center" wrapText="1"/>
    </xf>
    <xf numFmtId="0" fontId="5" fillId="4" borderId="0" xfId="0" applyFont="1" applyFill="1" applyAlignment="1">
      <alignment vertical="center" wrapText="1"/>
    </xf>
    <xf numFmtId="0" fontId="5" fillId="0" borderId="0" xfId="0" applyFont="1" applyAlignment="1">
      <alignment horizontal="left" vertical="center" wrapText="1"/>
    </xf>
    <xf numFmtId="0" fontId="0" fillId="0" borderId="106" xfId="0" applyBorder="1" applyAlignment="1">
      <alignment vertical="center"/>
    </xf>
    <xf numFmtId="0" fontId="0" fillId="0" borderId="0" xfId="0" applyAlignment="1">
      <alignment horizontal="center" vertical="center"/>
    </xf>
    <xf numFmtId="0" fontId="0" fillId="0" borderId="105" xfId="0" applyBorder="1" applyAlignment="1">
      <alignment vertical="center"/>
    </xf>
    <xf numFmtId="0" fontId="2" fillId="0" borderId="0" xfId="0" applyFont="1" applyAlignment="1">
      <alignment horizontal="center" vertical="center" textRotation="90"/>
    </xf>
    <xf numFmtId="9" fontId="6" fillId="0" borderId="0" xfId="1" applyFont="1" applyBorder="1" applyAlignment="1">
      <alignment horizontal="right" vertical="center"/>
    </xf>
    <xf numFmtId="0" fontId="56" fillId="7" borderId="0" xfId="0" applyFont="1" applyFill="1" applyAlignment="1">
      <alignment horizontal="left" vertical="center" wrapText="1"/>
    </xf>
    <xf numFmtId="0" fontId="57" fillId="7" borderId="0" xfId="0" applyFont="1" applyFill="1" applyAlignment="1">
      <alignment vertical="center" wrapText="1"/>
    </xf>
    <xf numFmtId="0" fontId="29" fillId="3" borderId="0" xfId="0" applyFont="1" applyFill="1" applyAlignment="1">
      <alignment horizontal="left" vertical="center" wrapText="1" indent="2"/>
    </xf>
    <xf numFmtId="0" fontId="9" fillId="2" borderId="37" xfId="0" applyFont="1" applyFill="1" applyBorder="1" applyAlignment="1">
      <alignment horizontal="left" vertical="center" wrapText="1" indent="2"/>
    </xf>
    <xf numFmtId="0" fontId="9" fillId="2" borderId="38" xfId="0" applyFont="1" applyFill="1" applyBorder="1" applyAlignment="1">
      <alignment horizontal="left" vertical="center" wrapText="1" indent="2"/>
    </xf>
  </cellXfs>
  <cellStyles count="5">
    <cellStyle name="Currency" xfId="2" builtinId="4"/>
    <cellStyle name="Currency 2" xfId="4" xr:uid="{00000000-0005-0000-0000-000001000000}"/>
    <cellStyle name="Hyperlink" xfId="3" builtinId="8"/>
    <cellStyle name="Normal" xfId="0" builtinId="0"/>
    <cellStyle name="Percent" xfId="1" builtinId="5"/>
  </cellStyles>
  <dxfs count="8">
    <dxf>
      <numFmt numFmtId="165" formatCode="&quot;$&quot;#,##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minor"/>
      </font>
      <numFmt numFmtId="165" formatCode="&quot;$&quot;#,##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minor"/>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minor"/>
      </font>
      <numFmt numFmtId="165" formatCode="&quot;$&quot;#,##0"/>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minor"/>
      </font>
      <numFmt numFmtId="164" formatCode="0.0%"/>
      <alignment horizontal="right"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11"/>
        <color theme="1"/>
        <name val="Arial"/>
        <family val="2"/>
        <scheme val="minor"/>
      </font>
      <fill>
        <patternFill patternType="solid">
          <fgColor indexed="64"/>
          <bgColor rgb="FFC8E6B3"/>
        </patternFill>
      </fill>
      <alignment horizontal="right" vertical="center" textRotation="0" wrapText="0" indent="0" justifyLastLine="0" shrinkToFit="0" readingOrder="0"/>
    </dxf>
  </dxfs>
  <tableStyles count="1" defaultTableStyle="TableStyleMedium2" defaultPivotStyle="PivotStyleLight16">
    <tableStyle name="PivotTable Style 1" table="0" count="0" xr9:uid="{00000000-0011-0000-FFFF-FFFF00000000}"/>
  </tableStyles>
  <colors>
    <mruColors>
      <color rgb="FF4F8FAB"/>
      <color rgb="FFC8E6B3"/>
      <color rgb="FF93D050"/>
      <color rgb="FF78B832"/>
      <color rgb="FF7AC143"/>
      <color rgb="FFCCA640"/>
      <color rgb="FF2B5A71"/>
      <color rgb="FFE36F1E"/>
      <color rgb="FF353737"/>
      <color rgb="FF6B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26" Type="http://schemas.openxmlformats.org/officeDocument/2006/relationships/customXml" Target="../customXml/item8.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owerPivotData" Target="model/item.data"/><Relationship Id="rId25"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InCalf Economic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37270341207348"/>
          <c:y val="0.17171296296296296"/>
          <c:w val="0.85707174103237094"/>
          <c:h val="0.67003098571011954"/>
        </c:manualLayout>
      </c:layout>
      <c:barChart>
        <c:barDir val="col"/>
        <c:grouping val="clustered"/>
        <c:varyColors val="0"/>
        <c:ser>
          <c:idx val="0"/>
          <c:order val="0"/>
          <c:tx>
            <c:strRef>
              <c:f>'Results Page'!$G$3</c:f>
              <c:strCache>
                <c:ptCount val="1"/>
                <c:pt idx="0">
                  <c:v>Total InCalf Economic Gap</c:v>
                </c:pt>
              </c:strCache>
            </c:strRef>
          </c:tx>
          <c:spPr>
            <a:solidFill>
              <a:schemeClr val="accent3"/>
            </a:solidFill>
            <a:ln>
              <a:noFill/>
            </a:ln>
            <a:effectLst/>
          </c:spPr>
          <c:invertIfNegative val="0"/>
          <c:cat>
            <c:strRef>
              <c:f>'Results Page'!$B$4:$B$10</c:f>
              <c:strCache>
                <c:ptCount val="7"/>
                <c:pt idx="0">
                  <c:v>Non-Cycling</c:v>
                </c:pt>
                <c:pt idx="1">
                  <c:v>Heat Detection</c:v>
                </c:pt>
                <c:pt idx="2">
                  <c:v>BCS @ early lactation</c:v>
                </c:pt>
                <c:pt idx="3">
                  <c:v>BCS @ Calving*</c:v>
                </c:pt>
                <c:pt idx="4">
                  <c:v>Cow Health</c:v>
                </c:pt>
                <c:pt idx="5">
                  <c:v>Calving Pattern</c:v>
                </c:pt>
                <c:pt idx="6">
                  <c:v>Heifer Rearing*</c:v>
                </c:pt>
              </c:strCache>
            </c:strRef>
          </c:cat>
          <c:val>
            <c:numRef>
              <c:f>'Results Page'!$G$4:$G$10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A83-493D-8927-6E0B24161E6B}"/>
            </c:ext>
          </c:extLst>
        </c:ser>
        <c:dLbls>
          <c:showLegendKey val="0"/>
          <c:showVal val="0"/>
          <c:showCatName val="0"/>
          <c:showSerName val="0"/>
          <c:showPercent val="0"/>
          <c:showBubbleSize val="0"/>
        </c:dLbls>
        <c:gapWidth val="219"/>
        <c:overlap val="-27"/>
        <c:axId val="486664520"/>
        <c:axId val="486661896"/>
      </c:barChart>
      <c:catAx>
        <c:axId val="48666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661896"/>
        <c:crosses val="autoZero"/>
        <c:auto val="1"/>
        <c:lblAlgn val="ctr"/>
        <c:lblOffset val="100"/>
        <c:noMultiLvlLbl val="0"/>
      </c:catAx>
      <c:valAx>
        <c:axId val="4866618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664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Your Not-In-Calf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959492563429571"/>
          <c:y val="0.17171296296296296"/>
          <c:w val="0.77766526544398329"/>
          <c:h val="0.53374438022854664"/>
        </c:manualLayout>
      </c:layout>
      <c:barChart>
        <c:barDir val="col"/>
        <c:grouping val="clustered"/>
        <c:varyColors val="0"/>
        <c:ser>
          <c:idx val="0"/>
          <c:order val="0"/>
          <c:tx>
            <c:strRef>
              <c:f>'Results Page'!$E$3</c:f>
              <c:strCache>
                <c:ptCount val="1"/>
                <c:pt idx="0">
                  <c:v>Not-In-Calf Rate Gap</c:v>
                </c:pt>
              </c:strCache>
            </c:strRef>
          </c:tx>
          <c:spPr>
            <a:solidFill>
              <a:schemeClr val="accent3"/>
            </a:solidFill>
            <a:ln>
              <a:noFill/>
            </a:ln>
            <a:effectLst/>
          </c:spPr>
          <c:invertIfNegative val="0"/>
          <c:cat>
            <c:strRef>
              <c:f>'Results Page'!$B$4:$B$10</c:f>
              <c:strCache>
                <c:ptCount val="7"/>
                <c:pt idx="0">
                  <c:v>Non-Cycling</c:v>
                </c:pt>
                <c:pt idx="1">
                  <c:v>Heat Detection</c:v>
                </c:pt>
                <c:pt idx="2">
                  <c:v>BCS @ early lactation</c:v>
                </c:pt>
                <c:pt idx="3">
                  <c:v>BCS @ Calving*</c:v>
                </c:pt>
                <c:pt idx="4">
                  <c:v>Cow Health</c:v>
                </c:pt>
                <c:pt idx="5">
                  <c:v>Calving Pattern</c:v>
                </c:pt>
                <c:pt idx="6">
                  <c:v>Heifer Rearing*</c:v>
                </c:pt>
              </c:strCache>
            </c:strRef>
          </c:cat>
          <c:val>
            <c:numRef>
              <c:f>'Results Page'!$E$4:$E$10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350-4949-B1F3-488BB30EF4E8}"/>
            </c:ext>
          </c:extLst>
        </c:ser>
        <c:dLbls>
          <c:showLegendKey val="0"/>
          <c:showVal val="0"/>
          <c:showCatName val="0"/>
          <c:showSerName val="0"/>
          <c:showPercent val="0"/>
          <c:showBubbleSize val="0"/>
        </c:dLbls>
        <c:gapWidth val="219"/>
        <c:overlap val="-27"/>
        <c:axId val="535409744"/>
        <c:axId val="535410072"/>
      </c:barChart>
      <c:catAx>
        <c:axId val="535409744"/>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410072"/>
        <c:crosses val="autoZero"/>
        <c:auto val="1"/>
        <c:lblAlgn val="ctr"/>
        <c:lblOffset val="100"/>
        <c:noMultiLvlLbl val="0"/>
      </c:catAx>
      <c:valAx>
        <c:axId val="535410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409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Your In-Calf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463615544302975E-2"/>
          <c:y val="0.18732323232323234"/>
          <c:w val="0.88045925493289501"/>
          <c:h val="0.53829316789946713"/>
        </c:manualLayout>
      </c:layout>
      <c:barChart>
        <c:barDir val="col"/>
        <c:grouping val="clustered"/>
        <c:varyColors val="0"/>
        <c:ser>
          <c:idx val="0"/>
          <c:order val="0"/>
          <c:tx>
            <c:strRef>
              <c:f>'Results Page'!$C$3</c:f>
              <c:strCache>
                <c:ptCount val="1"/>
                <c:pt idx="0">
                  <c:v>6-Week In-Calf Rate Gap</c:v>
                </c:pt>
              </c:strCache>
            </c:strRef>
          </c:tx>
          <c:spPr>
            <a:solidFill>
              <a:schemeClr val="accent3"/>
            </a:solidFill>
            <a:ln>
              <a:noFill/>
            </a:ln>
            <a:effectLst/>
          </c:spPr>
          <c:invertIfNegative val="0"/>
          <c:cat>
            <c:strRef>
              <c:f>'Results Page'!$B$4:$B$10</c:f>
              <c:strCache>
                <c:ptCount val="7"/>
                <c:pt idx="0">
                  <c:v>Non-Cycling</c:v>
                </c:pt>
                <c:pt idx="1">
                  <c:v>Heat Detection</c:v>
                </c:pt>
                <c:pt idx="2">
                  <c:v>BCS @ early lactation</c:v>
                </c:pt>
                <c:pt idx="3">
                  <c:v>BCS @ Calving*</c:v>
                </c:pt>
                <c:pt idx="4">
                  <c:v>Cow Health</c:v>
                </c:pt>
                <c:pt idx="5">
                  <c:v>Calving Pattern</c:v>
                </c:pt>
                <c:pt idx="6">
                  <c:v>Heifer Rearing*</c:v>
                </c:pt>
              </c:strCache>
            </c:strRef>
          </c:cat>
          <c:val>
            <c:numRef>
              <c:f>'Results Page'!$C$4:$C$10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AF8-4AEA-B73C-C8ECD0071359}"/>
            </c:ext>
          </c:extLst>
        </c:ser>
        <c:dLbls>
          <c:showLegendKey val="0"/>
          <c:showVal val="0"/>
          <c:showCatName val="0"/>
          <c:showSerName val="0"/>
          <c:showPercent val="0"/>
          <c:showBubbleSize val="0"/>
        </c:dLbls>
        <c:gapWidth val="219"/>
        <c:overlap val="-27"/>
        <c:axId val="481470680"/>
        <c:axId val="481471664"/>
      </c:barChart>
      <c:catAx>
        <c:axId val="48147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471664"/>
        <c:crosses val="autoZero"/>
        <c:auto val="1"/>
        <c:lblAlgn val="ctr"/>
        <c:lblOffset val="100"/>
        <c:noMultiLvlLbl val="0"/>
      </c:catAx>
      <c:valAx>
        <c:axId val="481471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470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Input Sheet'!B11"/><Relationship Id="rId7" Type="http://schemas.openxmlformats.org/officeDocument/2006/relationships/hyperlink" Target="#'Input Sheet'!B14"/><Relationship Id="rId2" Type="http://schemas.openxmlformats.org/officeDocument/2006/relationships/hyperlink" Target="#'Input Sheet'!B10"/><Relationship Id="rId1" Type="http://schemas.openxmlformats.org/officeDocument/2006/relationships/image" Target="../media/image1.png"/><Relationship Id="rId6" Type="http://schemas.openxmlformats.org/officeDocument/2006/relationships/hyperlink" Target="#'Input Sheet'!B19"/><Relationship Id="rId5" Type="http://schemas.openxmlformats.org/officeDocument/2006/relationships/hyperlink" Target="#'Input Sheet'!B8"/><Relationship Id="rId10" Type="http://schemas.openxmlformats.org/officeDocument/2006/relationships/image" Target="../media/image4.png"/><Relationship Id="rId4" Type="http://schemas.openxmlformats.org/officeDocument/2006/relationships/hyperlink" Target="#'Input Sheet'!B24"/><Relationship Id="rId9"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6.png"/><Relationship Id="rId7"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image" Target="../media/image8.png"/><Relationship Id="rId11" Type="http://schemas.openxmlformats.org/officeDocument/2006/relationships/image" Target="../media/image2.png"/><Relationship Id="rId5" Type="http://schemas.openxmlformats.org/officeDocument/2006/relationships/image" Target="../media/image7.png"/><Relationship Id="rId10" Type="http://schemas.openxmlformats.org/officeDocument/2006/relationships/image" Target="../media/image4.png"/><Relationship Id="rId4" Type="http://schemas.openxmlformats.org/officeDocument/2006/relationships/chart" Target="../charts/chart2.xml"/><Relationship Id="rId9"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156606</xdr:colOff>
      <xdr:row>4</xdr:row>
      <xdr:rowOff>109536</xdr:rowOff>
    </xdr:from>
    <xdr:to>
      <xdr:col>12</xdr:col>
      <xdr:colOff>379408</xdr:colOff>
      <xdr:row>42</xdr:row>
      <xdr:rowOff>61911</xdr:rowOff>
    </xdr:to>
    <xdr:grpSp>
      <xdr:nvGrpSpPr>
        <xdr:cNvPr id="28" name="Group 27">
          <a:extLst>
            <a:ext uri="{FF2B5EF4-FFF2-40B4-BE49-F238E27FC236}">
              <a16:creationId xmlns:a16="http://schemas.microsoft.com/office/drawing/2014/main" id="{D5E9D433-8001-4161-A3C5-DB7B22160B29}"/>
            </a:ext>
          </a:extLst>
        </xdr:cNvPr>
        <xdr:cNvGrpSpPr/>
      </xdr:nvGrpSpPr>
      <xdr:grpSpPr>
        <a:xfrm>
          <a:off x="156606" y="1419224"/>
          <a:ext cx="8588927" cy="6889750"/>
          <a:chOff x="95250" y="1200150"/>
          <a:chExt cx="7688736" cy="6232845"/>
        </a:xfrm>
      </xdr:grpSpPr>
      <xdr:pic>
        <xdr:nvPicPr>
          <xdr:cNvPr id="2" name="Fertility focus report">
            <a:extLst>
              <a:ext uri="{FF2B5EF4-FFF2-40B4-BE49-F238E27FC236}">
                <a16:creationId xmlns:a16="http://schemas.microsoft.com/office/drawing/2014/main" id="{9A1C13D0-E911-43AB-B511-CA4042AF6931}"/>
              </a:ext>
            </a:extLst>
          </xdr:cNvPr>
          <xdr:cNvPicPr>
            <a:picLocks noChangeAspect="1"/>
          </xdr:cNvPicPr>
        </xdr:nvPicPr>
        <xdr:blipFill>
          <a:blip xmlns:r="http://schemas.openxmlformats.org/officeDocument/2006/relationships" r:embed="rId1"/>
          <a:stretch>
            <a:fillRect/>
          </a:stretch>
        </xdr:blipFill>
        <xdr:spPr>
          <a:xfrm>
            <a:off x="1819274" y="1228726"/>
            <a:ext cx="4391025" cy="6204269"/>
          </a:xfrm>
          <a:prstGeom prst="rect">
            <a:avLst/>
          </a:prstGeom>
        </xdr:spPr>
      </xdr:pic>
      <xdr:grpSp>
        <xdr:nvGrpSpPr>
          <xdr:cNvPr id="27" name="6 week in calf">
            <a:extLst>
              <a:ext uri="{FF2B5EF4-FFF2-40B4-BE49-F238E27FC236}">
                <a16:creationId xmlns:a16="http://schemas.microsoft.com/office/drawing/2014/main" id="{37CAC44C-B6E7-4CB9-A6E7-6AADE489DA0D}"/>
              </a:ext>
            </a:extLst>
          </xdr:cNvPr>
          <xdr:cNvGrpSpPr/>
        </xdr:nvGrpSpPr>
        <xdr:grpSpPr>
          <a:xfrm>
            <a:off x="95250" y="1295400"/>
            <a:ext cx="4038600" cy="2038350"/>
            <a:chOff x="95250" y="1295400"/>
            <a:chExt cx="4038600" cy="2038350"/>
          </a:xfrm>
        </xdr:grpSpPr>
        <xdr:sp macro="" textlink="">
          <xdr:nvSpPr>
            <xdr:cNvPr id="3" name="TextBox 2">
              <a:hlinkClick xmlns:r="http://schemas.openxmlformats.org/officeDocument/2006/relationships" r:id="rId2"/>
              <a:extLst>
                <a:ext uri="{FF2B5EF4-FFF2-40B4-BE49-F238E27FC236}">
                  <a16:creationId xmlns:a16="http://schemas.microsoft.com/office/drawing/2014/main" id="{85499971-BFD6-428D-8003-308FC3C2D85F}"/>
                </a:ext>
              </a:extLst>
            </xdr:cNvPr>
            <xdr:cNvSpPr txBox="1"/>
          </xdr:nvSpPr>
          <xdr:spPr>
            <a:xfrm>
              <a:off x="95250" y="1295400"/>
              <a:ext cx="1495425" cy="20383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NZ" sz="1100"/>
                <a:t>Your </a:t>
              </a:r>
              <a:r>
                <a:rPr lang="en-NZ" sz="1300" b="1"/>
                <a:t>6-Week In-Calf Rate </a:t>
              </a:r>
              <a:r>
                <a:rPr lang="en-NZ" sz="1100"/>
                <a:t>figure</a:t>
              </a:r>
              <a:r>
                <a:rPr lang="en-NZ" sz="1100" baseline="0"/>
                <a:t> is in the first box in this section.</a:t>
              </a:r>
              <a:endParaRPr lang="en-NZ" sz="1100"/>
            </a:p>
            <a:p>
              <a:r>
                <a:rPr lang="en-NZ" sz="1100"/>
                <a:t>The industry target for 6-Week In-Calf Rate is 78%, but you may overwrite this in the input section if you prefer to target something different.</a:t>
              </a:r>
            </a:p>
          </xdr:txBody>
        </xdr:sp>
        <xdr:sp macro="" textlink="">
          <xdr:nvSpPr>
            <xdr:cNvPr id="5" name="Rectangle: Rounded Corners 4">
              <a:extLst>
                <a:ext uri="{FF2B5EF4-FFF2-40B4-BE49-F238E27FC236}">
                  <a16:creationId xmlns:a16="http://schemas.microsoft.com/office/drawing/2014/main" id="{567126AD-9A23-46FF-A7E3-6488204662D0}"/>
                </a:ext>
              </a:extLst>
            </xdr:cNvPr>
            <xdr:cNvSpPr/>
          </xdr:nvSpPr>
          <xdr:spPr>
            <a:xfrm>
              <a:off x="1952625" y="2390775"/>
              <a:ext cx="2181225" cy="885825"/>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NZ" sz="1100"/>
            </a:p>
          </xdr:txBody>
        </xdr:sp>
        <xdr:cxnSp macro="">
          <xdr:nvCxnSpPr>
            <xdr:cNvPr id="17" name="Straight Connector 16">
              <a:extLst>
                <a:ext uri="{FF2B5EF4-FFF2-40B4-BE49-F238E27FC236}">
                  <a16:creationId xmlns:a16="http://schemas.microsoft.com/office/drawing/2014/main" id="{DCAA74EC-C265-4ED5-8746-11AD50F16C05}"/>
                </a:ext>
              </a:extLst>
            </xdr:cNvPr>
            <xdr:cNvCxnSpPr>
              <a:stCxn id="3" idx="3"/>
              <a:endCxn id="5" idx="1"/>
            </xdr:cNvCxnSpPr>
          </xdr:nvCxnSpPr>
          <xdr:spPr>
            <a:xfrm>
              <a:off x="1590675" y="2314575"/>
              <a:ext cx="361950" cy="519113"/>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grpSp>
        <xdr:nvGrpSpPr>
          <xdr:cNvPr id="22" name="Not in calf rate">
            <a:extLst>
              <a:ext uri="{FF2B5EF4-FFF2-40B4-BE49-F238E27FC236}">
                <a16:creationId xmlns:a16="http://schemas.microsoft.com/office/drawing/2014/main" id="{6C105385-7EA8-4A64-8E08-CA8A3217FA2A}"/>
              </a:ext>
            </a:extLst>
          </xdr:cNvPr>
          <xdr:cNvGrpSpPr/>
        </xdr:nvGrpSpPr>
        <xdr:grpSpPr>
          <a:xfrm>
            <a:off x="114300" y="3257550"/>
            <a:ext cx="4048125" cy="1952624"/>
            <a:chOff x="114300" y="3257550"/>
            <a:chExt cx="4048125" cy="1952624"/>
          </a:xfrm>
        </xdr:grpSpPr>
        <xdr:sp macro="" textlink="">
          <xdr:nvSpPr>
            <xdr:cNvPr id="6" name="Rectangle: Rounded Corners 5">
              <a:extLst>
                <a:ext uri="{FF2B5EF4-FFF2-40B4-BE49-F238E27FC236}">
                  <a16:creationId xmlns:a16="http://schemas.microsoft.com/office/drawing/2014/main" id="{8805C56A-D071-444B-AE4A-F6F601E31C28}"/>
                </a:ext>
              </a:extLst>
            </xdr:cNvPr>
            <xdr:cNvSpPr/>
          </xdr:nvSpPr>
          <xdr:spPr>
            <a:xfrm>
              <a:off x="1981200" y="3257550"/>
              <a:ext cx="2181225" cy="619125"/>
            </a:xfrm>
            <a:prstGeom prst="roundRect">
              <a:avLst/>
            </a:prstGeom>
            <a:no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NZ" sz="1100"/>
            </a:p>
          </xdr:txBody>
        </xdr:sp>
        <xdr:sp macro="" textlink="">
          <xdr:nvSpPr>
            <xdr:cNvPr id="8" name="TextBox 7">
              <a:hlinkClick xmlns:r="http://schemas.openxmlformats.org/officeDocument/2006/relationships" r:id="rId3"/>
              <a:extLst>
                <a:ext uri="{FF2B5EF4-FFF2-40B4-BE49-F238E27FC236}">
                  <a16:creationId xmlns:a16="http://schemas.microsoft.com/office/drawing/2014/main" id="{E7D26F8B-7CC8-4B63-90ED-0E8B12DE1015}"/>
                </a:ext>
              </a:extLst>
            </xdr:cNvPr>
            <xdr:cNvSpPr txBox="1"/>
          </xdr:nvSpPr>
          <xdr:spPr>
            <a:xfrm>
              <a:off x="114300" y="3438523"/>
              <a:ext cx="1476375" cy="1771651"/>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NZ" sz="1100"/>
                <a:t>The first box</a:t>
              </a:r>
              <a:r>
                <a:rPr lang="en-NZ" sz="1100" baseline="0"/>
                <a:t> in this section is yo</a:t>
              </a:r>
              <a:r>
                <a:rPr lang="en-NZ" sz="1100"/>
                <a:t>ur </a:t>
              </a:r>
              <a:r>
                <a:rPr lang="en-NZ" sz="1300" b="1"/>
                <a:t>Not-In-Calf Rate Figure</a:t>
              </a:r>
            </a:p>
            <a:p>
              <a:endParaRPr lang="en-NZ" sz="1100"/>
            </a:p>
            <a:p>
              <a:r>
                <a:rPr lang="en-NZ" sz="1100"/>
                <a:t>The second box in this section is your </a:t>
              </a:r>
              <a:r>
                <a:rPr lang="en-NZ" sz="1300" b="1"/>
                <a:t>Targeted</a:t>
              </a:r>
              <a:r>
                <a:rPr lang="en-NZ" sz="1300" b="1" baseline="0"/>
                <a:t> Not-In-Calf Rate figure.</a:t>
              </a:r>
              <a:endParaRPr lang="en-NZ" sz="1300" b="1"/>
            </a:p>
          </xdr:txBody>
        </xdr:sp>
        <xdr:cxnSp macro="">
          <xdr:nvCxnSpPr>
            <xdr:cNvPr id="18" name="Straight Connector 17">
              <a:extLst>
                <a:ext uri="{FF2B5EF4-FFF2-40B4-BE49-F238E27FC236}">
                  <a16:creationId xmlns:a16="http://schemas.microsoft.com/office/drawing/2014/main" id="{63FC6F7D-9488-4540-B646-1F9CF9F19936}"/>
                </a:ext>
              </a:extLst>
            </xdr:cNvPr>
            <xdr:cNvCxnSpPr>
              <a:stCxn id="8" idx="3"/>
            </xdr:cNvCxnSpPr>
          </xdr:nvCxnSpPr>
          <xdr:spPr>
            <a:xfrm flipV="1">
              <a:off x="1590675" y="3676650"/>
              <a:ext cx="371475" cy="647699"/>
            </a:xfrm>
            <a:prstGeom prst="line">
              <a:avLst/>
            </a:prstGeom>
            <a:ln w="28575"/>
          </xdr:spPr>
          <xdr:style>
            <a:lnRef idx="1">
              <a:schemeClr val="accent3"/>
            </a:lnRef>
            <a:fillRef idx="0">
              <a:schemeClr val="accent3"/>
            </a:fillRef>
            <a:effectRef idx="0">
              <a:schemeClr val="accent3"/>
            </a:effectRef>
            <a:fontRef idx="minor">
              <a:schemeClr val="tx1"/>
            </a:fontRef>
          </xdr:style>
        </xdr:cxnSp>
      </xdr:grpSp>
      <xdr:grpSp>
        <xdr:nvGrpSpPr>
          <xdr:cNvPr id="16" name="Heat detection efficiency">
            <a:extLst>
              <a:ext uri="{FF2B5EF4-FFF2-40B4-BE49-F238E27FC236}">
                <a16:creationId xmlns:a16="http://schemas.microsoft.com/office/drawing/2014/main" id="{0B72F482-7378-49F6-BAB3-27DB3478AFC4}"/>
              </a:ext>
            </a:extLst>
          </xdr:cNvPr>
          <xdr:cNvGrpSpPr/>
        </xdr:nvGrpSpPr>
        <xdr:grpSpPr>
          <a:xfrm>
            <a:off x="107070" y="5534025"/>
            <a:ext cx="4588755" cy="1352549"/>
            <a:chOff x="107070" y="5534025"/>
            <a:chExt cx="4588755" cy="1352549"/>
          </a:xfrm>
        </xdr:grpSpPr>
        <xdr:sp macro="" textlink="">
          <xdr:nvSpPr>
            <xdr:cNvPr id="11" name="Rectangle: Rounded Corners 10">
              <a:extLst>
                <a:ext uri="{FF2B5EF4-FFF2-40B4-BE49-F238E27FC236}">
                  <a16:creationId xmlns:a16="http://schemas.microsoft.com/office/drawing/2014/main" id="{6F25CDA8-C780-4073-B924-2A9B3219B837}"/>
                </a:ext>
              </a:extLst>
            </xdr:cNvPr>
            <xdr:cNvSpPr/>
          </xdr:nvSpPr>
          <xdr:spPr>
            <a:xfrm>
              <a:off x="3324224" y="5657849"/>
              <a:ext cx="1371601" cy="638176"/>
            </a:xfrm>
            <a:prstGeom prst="roundRect">
              <a:avLst/>
            </a:prstGeom>
            <a:noFill/>
            <a:ln>
              <a:solidFill>
                <a:srgbClr val="FFC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NZ" sz="1100"/>
            </a:p>
          </xdr:txBody>
        </xdr:sp>
        <xdr:sp macro="" textlink="">
          <xdr:nvSpPr>
            <xdr:cNvPr id="13" name="TextBox 12">
              <a:hlinkClick xmlns:r="http://schemas.openxmlformats.org/officeDocument/2006/relationships" r:id="rId4"/>
              <a:extLst>
                <a:ext uri="{FF2B5EF4-FFF2-40B4-BE49-F238E27FC236}">
                  <a16:creationId xmlns:a16="http://schemas.microsoft.com/office/drawing/2014/main" id="{8FB94052-39F1-4DDD-BD42-745D938F65A3}"/>
                </a:ext>
              </a:extLst>
            </xdr:cNvPr>
            <xdr:cNvSpPr txBox="1"/>
          </xdr:nvSpPr>
          <xdr:spPr>
            <a:xfrm>
              <a:off x="107070" y="5534025"/>
              <a:ext cx="1476434" cy="1352549"/>
            </a:xfrm>
            <a:prstGeom prst="rect">
              <a:avLst/>
            </a:prstGeom>
            <a:noFill/>
            <a:ln>
              <a:solidFill>
                <a:srgbClr val="FFC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NZ" sz="1300" b="1">
                  <a:solidFill>
                    <a:schemeClr val="dk1"/>
                  </a:solidFill>
                  <a:effectLst/>
                  <a:latin typeface="+mn-lt"/>
                  <a:ea typeface="+mn-ea"/>
                  <a:cs typeface="+mn-cs"/>
                </a:rPr>
                <a:t>Heat Detection Efficiency</a:t>
              </a:r>
            </a:p>
            <a:p>
              <a:r>
                <a:rPr lang="en-NZ" sz="1100" b="0">
                  <a:solidFill>
                    <a:sysClr val="windowText" lastClr="000000"/>
                  </a:solidFill>
                </a:rPr>
                <a:t>The top figure here is your farms</a:t>
              </a:r>
              <a:r>
                <a:rPr lang="en-NZ" sz="1100" b="0" baseline="0">
                  <a:solidFill>
                    <a:sysClr val="windowText" lastClr="000000"/>
                  </a:solidFill>
                </a:rPr>
                <a:t> heat detection efficiency for the specified mating period.</a:t>
              </a:r>
              <a:endParaRPr lang="en-NZ" sz="1100"/>
            </a:p>
          </xdr:txBody>
        </xdr:sp>
        <xdr:cxnSp macro="">
          <xdr:nvCxnSpPr>
            <xdr:cNvPr id="19" name="Straight Connector 18">
              <a:extLst>
                <a:ext uri="{FF2B5EF4-FFF2-40B4-BE49-F238E27FC236}">
                  <a16:creationId xmlns:a16="http://schemas.microsoft.com/office/drawing/2014/main" id="{BDA65269-0500-4B51-8FC2-49204065CF59}"/>
                </a:ext>
              </a:extLst>
            </xdr:cNvPr>
            <xdr:cNvCxnSpPr>
              <a:stCxn id="13" idx="3"/>
              <a:endCxn id="11" idx="1"/>
            </xdr:cNvCxnSpPr>
          </xdr:nvCxnSpPr>
          <xdr:spPr>
            <a:xfrm flipV="1">
              <a:off x="1583504" y="5976936"/>
              <a:ext cx="1740720" cy="233364"/>
            </a:xfrm>
            <a:prstGeom prst="line">
              <a:avLst/>
            </a:prstGeom>
            <a:ln w="28575">
              <a:solidFill>
                <a:srgbClr val="FFC000"/>
              </a:solidFill>
            </a:ln>
          </xdr:spPr>
          <xdr:style>
            <a:lnRef idx="1">
              <a:schemeClr val="accent4"/>
            </a:lnRef>
            <a:fillRef idx="0">
              <a:schemeClr val="accent4"/>
            </a:fillRef>
            <a:effectRef idx="0">
              <a:schemeClr val="accent4"/>
            </a:effectRef>
            <a:fontRef idx="minor">
              <a:schemeClr val="tx1"/>
            </a:fontRef>
          </xdr:style>
        </xdr:cxnSp>
      </xdr:grpSp>
      <xdr:grpSp>
        <xdr:nvGrpSpPr>
          <xdr:cNvPr id="20" name="Mating start date">
            <a:extLst>
              <a:ext uri="{FF2B5EF4-FFF2-40B4-BE49-F238E27FC236}">
                <a16:creationId xmlns:a16="http://schemas.microsoft.com/office/drawing/2014/main" id="{9D143AC3-2D9A-421E-A7FF-253ED4C08A28}"/>
              </a:ext>
            </a:extLst>
          </xdr:cNvPr>
          <xdr:cNvGrpSpPr/>
        </xdr:nvGrpSpPr>
        <xdr:grpSpPr>
          <a:xfrm>
            <a:off x="4772177" y="1200150"/>
            <a:ext cx="3000223" cy="1295400"/>
            <a:chOff x="4772177" y="1200150"/>
            <a:chExt cx="3000223" cy="1295400"/>
          </a:xfrm>
        </xdr:grpSpPr>
        <xdr:sp macro="" textlink="">
          <xdr:nvSpPr>
            <xdr:cNvPr id="7" name="Rectangle: Rounded Corners 6">
              <a:extLst>
                <a:ext uri="{FF2B5EF4-FFF2-40B4-BE49-F238E27FC236}">
                  <a16:creationId xmlns:a16="http://schemas.microsoft.com/office/drawing/2014/main" id="{CABECA48-0C22-481C-AAB6-6A261229C62C}"/>
                </a:ext>
              </a:extLst>
            </xdr:cNvPr>
            <xdr:cNvSpPr/>
          </xdr:nvSpPr>
          <xdr:spPr>
            <a:xfrm>
              <a:off x="4772177" y="1966690"/>
              <a:ext cx="704851" cy="266701"/>
            </a:xfrm>
            <a:prstGeom prst="roundRect">
              <a:avLst/>
            </a:prstGeom>
            <a:noFill/>
            <a:ln>
              <a:solidFill>
                <a:srgbClr val="FFC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NZ" sz="1100"/>
            </a:p>
          </xdr:txBody>
        </xdr:sp>
        <xdr:sp macro="" textlink="">
          <xdr:nvSpPr>
            <xdr:cNvPr id="9" name="TextBox 8">
              <a:hlinkClick xmlns:r="http://schemas.openxmlformats.org/officeDocument/2006/relationships" r:id="rId5"/>
              <a:extLst>
                <a:ext uri="{FF2B5EF4-FFF2-40B4-BE49-F238E27FC236}">
                  <a16:creationId xmlns:a16="http://schemas.microsoft.com/office/drawing/2014/main" id="{BBFDA05C-86B9-4F20-93F0-359B17644DBE}"/>
                </a:ext>
              </a:extLst>
            </xdr:cNvPr>
            <xdr:cNvSpPr txBox="1"/>
          </xdr:nvSpPr>
          <xdr:spPr>
            <a:xfrm>
              <a:off x="6381750" y="1200150"/>
              <a:ext cx="1390650" cy="1295400"/>
            </a:xfrm>
            <a:prstGeom prst="rect">
              <a:avLst/>
            </a:prstGeom>
            <a:solidFill>
              <a:sysClr val="window" lastClr="FFFFFF"/>
            </a:solidFill>
            <a:ln>
              <a:solidFill>
                <a:srgbClr val="FFC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lang="en-NZ" sz="1100" b="0">
                  <a:solidFill>
                    <a:sysClr val="windowText" lastClr="000000"/>
                  </a:solidFill>
                </a:rPr>
                <a:t>These two boxes are where you can find your </a:t>
              </a:r>
              <a:r>
                <a:rPr lang="en-NZ" sz="1300" b="1">
                  <a:solidFill>
                    <a:sysClr val="windowText" lastClr="000000"/>
                  </a:solidFill>
                </a:rPr>
                <a:t>Mating Start Date (MSD)</a:t>
              </a:r>
              <a:r>
                <a:rPr lang="en-NZ" sz="1100" b="0" baseline="0">
                  <a:solidFill>
                    <a:sysClr val="windowText" lastClr="000000"/>
                  </a:solidFill>
                </a:rPr>
                <a:t> and </a:t>
              </a:r>
              <a:r>
                <a:rPr lang="en-NZ" sz="1300" b="1" baseline="0">
                  <a:solidFill>
                    <a:sysClr val="windowText" lastClr="000000"/>
                  </a:solidFill>
                </a:rPr>
                <a:t>Planned Start of Calving (PSC).</a:t>
              </a:r>
              <a:endParaRPr lang="en-NZ" sz="1300" b="1"/>
            </a:p>
          </xdr:txBody>
        </xdr:sp>
        <xdr:cxnSp macro="">
          <xdr:nvCxnSpPr>
            <xdr:cNvPr id="21" name="Straight Connector 20">
              <a:extLst>
                <a:ext uri="{FF2B5EF4-FFF2-40B4-BE49-F238E27FC236}">
                  <a16:creationId xmlns:a16="http://schemas.microsoft.com/office/drawing/2014/main" id="{A6A4E294-8DBC-415D-9709-EE27A4AA0552}"/>
                </a:ext>
              </a:extLst>
            </xdr:cNvPr>
            <xdr:cNvCxnSpPr>
              <a:stCxn id="7" idx="3"/>
            </xdr:cNvCxnSpPr>
          </xdr:nvCxnSpPr>
          <xdr:spPr>
            <a:xfrm flipV="1">
              <a:off x="5477028" y="1800077"/>
              <a:ext cx="914247" cy="299963"/>
            </a:xfrm>
            <a:prstGeom prst="line">
              <a:avLst/>
            </a:prstGeom>
            <a:ln w="28575">
              <a:solidFill>
                <a:srgbClr val="FFC000"/>
              </a:solidFill>
            </a:ln>
          </xdr:spPr>
          <xdr:style>
            <a:lnRef idx="1">
              <a:schemeClr val="accent3"/>
            </a:lnRef>
            <a:fillRef idx="0">
              <a:schemeClr val="accent3"/>
            </a:fillRef>
            <a:effectRef idx="0">
              <a:schemeClr val="accent3"/>
            </a:effectRef>
            <a:fontRef idx="minor">
              <a:schemeClr val="tx1"/>
            </a:fontRef>
          </xdr:style>
        </xdr:cxnSp>
      </xdr:grpSp>
      <xdr:grpSp>
        <xdr:nvGrpSpPr>
          <xdr:cNvPr id="12" name="Premating heats">
            <a:extLst>
              <a:ext uri="{FF2B5EF4-FFF2-40B4-BE49-F238E27FC236}">
                <a16:creationId xmlns:a16="http://schemas.microsoft.com/office/drawing/2014/main" id="{06E5DE22-2DD3-4561-82D5-5E0C27C35F99}"/>
              </a:ext>
            </a:extLst>
          </xdr:cNvPr>
          <xdr:cNvGrpSpPr/>
        </xdr:nvGrpSpPr>
        <xdr:grpSpPr>
          <a:xfrm>
            <a:off x="4695824" y="4762500"/>
            <a:ext cx="3086101" cy="2238375"/>
            <a:chOff x="4695824" y="4762500"/>
            <a:chExt cx="3086101" cy="2238375"/>
          </a:xfrm>
        </xdr:grpSpPr>
        <xdr:sp macro="" textlink="">
          <xdr:nvSpPr>
            <xdr:cNvPr id="14" name="Rectangle: Rounded Corners 13">
              <a:extLst>
                <a:ext uri="{FF2B5EF4-FFF2-40B4-BE49-F238E27FC236}">
                  <a16:creationId xmlns:a16="http://schemas.microsoft.com/office/drawing/2014/main" id="{07B2D003-28EA-45C3-929F-FFE3E42C571B}"/>
                </a:ext>
              </a:extLst>
            </xdr:cNvPr>
            <xdr:cNvSpPr/>
          </xdr:nvSpPr>
          <xdr:spPr>
            <a:xfrm>
              <a:off x="4695824" y="4762500"/>
              <a:ext cx="1371601" cy="1619250"/>
            </a:xfrm>
            <a:prstGeom prst="roundRect">
              <a:avLst/>
            </a:prstGeom>
            <a:noFill/>
            <a:ln>
              <a:solidFill>
                <a:schemeClr val="bg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NZ" sz="1100"/>
            </a:p>
          </xdr:txBody>
        </xdr:sp>
        <xdr:sp macro="" textlink="">
          <xdr:nvSpPr>
            <xdr:cNvPr id="15" name="TextBox 14">
              <a:hlinkClick xmlns:r="http://schemas.openxmlformats.org/officeDocument/2006/relationships" r:id="rId6"/>
              <a:extLst>
                <a:ext uri="{FF2B5EF4-FFF2-40B4-BE49-F238E27FC236}">
                  <a16:creationId xmlns:a16="http://schemas.microsoft.com/office/drawing/2014/main" id="{AE58DDC9-3470-416F-A60E-DB8474EDA9BE}"/>
                </a:ext>
              </a:extLst>
            </xdr:cNvPr>
            <xdr:cNvSpPr txBox="1"/>
          </xdr:nvSpPr>
          <xdr:spPr>
            <a:xfrm>
              <a:off x="6381750" y="4857748"/>
              <a:ext cx="1400175" cy="2143127"/>
            </a:xfrm>
            <a:prstGeom prst="rect">
              <a:avLst/>
            </a:prstGeom>
            <a:noFill/>
            <a:ln>
              <a:solidFill>
                <a:schemeClr val="bg2"/>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NZ" sz="1100" b="0">
                  <a:solidFill>
                    <a:sysClr val="windowText" lastClr="000000"/>
                  </a:solidFill>
                </a:rPr>
                <a:t>If you record </a:t>
              </a:r>
              <a:r>
                <a:rPr lang="en-NZ" sz="1300" b="1">
                  <a:solidFill>
                    <a:sysClr val="windowText" lastClr="000000"/>
                  </a:solidFill>
                </a:rPr>
                <a:t>premating heats</a:t>
              </a:r>
              <a:r>
                <a:rPr lang="en-NZ" sz="1100" b="0">
                  <a:solidFill>
                    <a:sysClr val="windowText" lastClr="000000"/>
                  </a:solidFill>
                </a:rPr>
                <a:t> or</a:t>
              </a:r>
              <a:r>
                <a:rPr lang="en-NZ" sz="1100" b="0" baseline="0">
                  <a:solidFill>
                    <a:sysClr val="windowText" lastClr="000000"/>
                  </a:solidFill>
                </a:rPr>
                <a:t> </a:t>
              </a:r>
              <a:r>
                <a:rPr lang="en-NZ" sz="1300" b="1" baseline="0">
                  <a:solidFill>
                    <a:sysClr val="windowText" lastClr="000000"/>
                  </a:solidFill>
                </a:rPr>
                <a:t>non-cycling cows </a:t>
              </a:r>
              <a:r>
                <a:rPr lang="en-NZ" sz="1100" b="0" baseline="0">
                  <a:solidFill>
                    <a:sysClr val="windowText" lastClr="000000"/>
                  </a:solidFill>
                </a:rPr>
                <a:t>into your herd recording software, you will find the figures here, otherwise use the second option on the input sheet to calculate this figure.</a:t>
              </a:r>
              <a:endParaRPr lang="en-NZ" sz="1100"/>
            </a:p>
          </xdr:txBody>
        </xdr:sp>
        <xdr:cxnSp macro="">
          <xdr:nvCxnSpPr>
            <xdr:cNvPr id="23" name="Straight Connector 22">
              <a:extLst>
                <a:ext uri="{FF2B5EF4-FFF2-40B4-BE49-F238E27FC236}">
                  <a16:creationId xmlns:a16="http://schemas.microsoft.com/office/drawing/2014/main" id="{B3DCD65E-C91D-4D77-A39F-9F4104EDEDC4}"/>
                </a:ext>
              </a:extLst>
            </xdr:cNvPr>
            <xdr:cNvCxnSpPr/>
          </xdr:nvCxnSpPr>
          <xdr:spPr>
            <a:xfrm>
              <a:off x="6086475" y="5562600"/>
              <a:ext cx="304800" cy="152400"/>
            </a:xfrm>
            <a:prstGeom prst="line">
              <a:avLst/>
            </a:prstGeom>
            <a:ln w="28575">
              <a:solidFill>
                <a:schemeClr val="bg2"/>
              </a:solidFill>
            </a:ln>
          </xdr:spPr>
          <xdr:style>
            <a:lnRef idx="1">
              <a:schemeClr val="accent3"/>
            </a:lnRef>
            <a:fillRef idx="0">
              <a:schemeClr val="accent3"/>
            </a:fillRef>
            <a:effectRef idx="0">
              <a:schemeClr val="accent3"/>
            </a:effectRef>
            <a:fontRef idx="minor">
              <a:schemeClr val="tx1"/>
            </a:fontRef>
          </xdr:style>
        </xdr:cxnSp>
      </xdr:grpSp>
      <xdr:grpSp>
        <xdr:nvGrpSpPr>
          <xdr:cNvPr id="4" name="Total length of mating">
            <a:extLst>
              <a:ext uri="{FF2B5EF4-FFF2-40B4-BE49-F238E27FC236}">
                <a16:creationId xmlns:a16="http://schemas.microsoft.com/office/drawing/2014/main" id="{23C6475B-9A5E-4042-8673-680A89C612D2}"/>
              </a:ext>
            </a:extLst>
          </xdr:cNvPr>
          <xdr:cNvGrpSpPr/>
        </xdr:nvGrpSpPr>
        <xdr:grpSpPr>
          <a:xfrm>
            <a:off x="4779837" y="2235440"/>
            <a:ext cx="3004149" cy="1088785"/>
            <a:chOff x="4779837" y="2235440"/>
            <a:chExt cx="3004149" cy="1088785"/>
          </a:xfrm>
        </xdr:grpSpPr>
        <xdr:sp macro="" textlink="">
          <xdr:nvSpPr>
            <xdr:cNvPr id="37" name="Rectangle: Rounded Corners 36">
              <a:extLst>
                <a:ext uri="{FF2B5EF4-FFF2-40B4-BE49-F238E27FC236}">
                  <a16:creationId xmlns:a16="http://schemas.microsoft.com/office/drawing/2014/main" id="{935BB7B1-590B-4CF7-8FCF-E262346B8871}"/>
                </a:ext>
              </a:extLst>
            </xdr:cNvPr>
            <xdr:cNvSpPr/>
          </xdr:nvSpPr>
          <xdr:spPr>
            <a:xfrm>
              <a:off x="4779837" y="2235440"/>
              <a:ext cx="704851" cy="161926"/>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sp macro="" textlink="">
          <xdr:nvSpPr>
            <xdr:cNvPr id="41" name="TextBox 40">
              <a:hlinkClick xmlns:r="http://schemas.openxmlformats.org/officeDocument/2006/relationships" r:id="rId7"/>
              <a:extLst>
                <a:ext uri="{FF2B5EF4-FFF2-40B4-BE49-F238E27FC236}">
                  <a16:creationId xmlns:a16="http://schemas.microsoft.com/office/drawing/2014/main" id="{15FB189A-8CAA-4CB3-97A1-DCB54D38F1F6}"/>
                </a:ext>
              </a:extLst>
            </xdr:cNvPr>
            <xdr:cNvSpPr txBox="1"/>
          </xdr:nvSpPr>
          <xdr:spPr>
            <a:xfrm>
              <a:off x="6402861" y="2752725"/>
              <a:ext cx="138112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NZ" sz="1100" b="0">
                  <a:solidFill>
                    <a:sysClr val="windowText" lastClr="000000"/>
                  </a:solidFill>
                </a:rPr>
                <a:t>Total </a:t>
              </a:r>
              <a:r>
                <a:rPr lang="en-NZ" sz="1300" b="1">
                  <a:solidFill>
                    <a:sysClr val="windowText" lastClr="000000"/>
                  </a:solidFill>
                </a:rPr>
                <a:t>length of mating</a:t>
              </a:r>
              <a:endParaRPr lang="en-NZ" sz="1300" b="1"/>
            </a:p>
          </xdr:txBody>
        </xdr:sp>
        <xdr:cxnSp macro="">
          <xdr:nvCxnSpPr>
            <xdr:cNvPr id="42" name="Straight Connector 41">
              <a:extLst>
                <a:ext uri="{FF2B5EF4-FFF2-40B4-BE49-F238E27FC236}">
                  <a16:creationId xmlns:a16="http://schemas.microsoft.com/office/drawing/2014/main" id="{A1A0FD3D-3DA0-4414-90EF-98D1E1C602CD}"/>
                </a:ext>
              </a:extLst>
            </xdr:cNvPr>
            <xdr:cNvCxnSpPr>
              <a:endCxn id="41" idx="1"/>
            </xdr:cNvCxnSpPr>
          </xdr:nvCxnSpPr>
          <xdr:spPr>
            <a:xfrm>
              <a:off x="5490308" y="2407945"/>
              <a:ext cx="912553" cy="630530"/>
            </a:xfrm>
            <a:prstGeom prst="line">
              <a:avLst/>
            </a:prstGeom>
            <a:ln w="28575">
              <a:solidFill>
                <a:sysClr val="windowText" lastClr="000000"/>
              </a:solidFill>
            </a:ln>
          </xdr:spPr>
          <xdr:style>
            <a:lnRef idx="1">
              <a:schemeClr val="accent3"/>
            </a:lnRef>
            <a:fillRef idx="0">
              <a:schemeClr val="accent3"/>
            </a:fillRef>
            <a:effectRef idx="0">
              <a:schemeClr val="accent3"/>
            </a:effectRef>
            <a:fontRef idx="minor">
              <a:schemeClr val="tx1"/>
            </a:fontRef>
          </xdr:style>
        </xdr:cxnSp>
      </xdr:grpSp>
    </xdr:grpSp>
    <xdr:clientData/>
  </xdr:twoCellAnchor>
  <xdr:twoCellAnchor editAs="oneCell">
    <xdr:from>
      <xdr:col>12</xdr:col>
      <xdr:colOff>0</xdr:colOff>
      <xdr:row>0</xdr:row>
      <xdr:rowOff>81642</xdr:rowOff>
    </xdr:from>
    <xdr:to>
      <xdr:col>12</xdr:col>
      <xdr:colOff>500629</xdr:colOff>
      <xdr:row>0</xdr:row>
      <xdr:rowOff>600975</xdr:rowOff>
    </xdr:to>
    <xdr:pic>
      <xdr:nvPicPr>
        <xdr:cNvPr id="35" name="Picture 34">
          <a:extLst>
            <a:ext uri="{FF2B5EF4-FFF2-40B4-BE49-F238E27FC236}">
              <a16:creationId xmlns:a16="http://schemas.microsoft.com/office/drawing/2014/main" id="{5DA12878-4E73-4479-9405-BAE9F70B623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504464" y="81642"/>
          <a:ext cx="500629" cy="519333"/>
        </a:xfrm>
        <a:prstGeom prst="rect">
          <a:avLst/>
        </a:prstGeom>
      </xdr:spPr>
    </xdr:pic>
    <xdr:clientData/>
  </xdr:twoCellAnchor>
  <xdr:oneCellAnchor>
    <xdr:from>
      <xdr:col>8</xdr:col>
      <xdr:colOff>476250</xdr:colOff>
      <xdr:row>47</xdr:row>
      <xdr:rowOff>57150</xdr:rowOff>
    </xdr:from>
    <xdr:ext cx="707143" cy="707143"/>
    <xdr:pic>
      <xdr:nvPicPr>
        <xdr:cNvPr id="36" name="InCalf logo">
          <a:extLst>
            <a:ext uri="{FF2B5EF4-FFF2-40B4-BE49-F238E27FC236}">
              <a16:creationId xmlns:a16="http://schemas.microsoft.com/office/drawing/2014/main" id="{B29535DA-EF04-4D6F-ABA6-9BD5762DC7E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962650" y="8420100"/>
          <a:ext cx="707143" cy="707143"/>
        </a:xfrm>
        <a:prstGeom prst="rect">
          <a:avLst/>
        </a:prstGeom>
      </xdr:spPr>
    </xdr:pic>
    <xdr:clientData/>
  </xdr:oneCellAnchor>
  <xdr:oneCellAnchor>
    <xdr:from>
      <xdr:col>10</xdr:col>
      <xdr:colOff>180975</xdr:colOff>
      <xdr:row>47</xdr:row>
      <xdr:rowOff>114300</xdr:rowOff>
    </xdr:from>
    <xdr:ext cx="1838323" cy="542925"/>
    <xdr:pic>
      <xdr:nvPicPr>
        <xdr:cNvPr id="38" name="DairyNZ logo (reverse)">
          <a:extLst>
            <a:ext uri="{FF2B5EF4-FFF2-40B4-BE49-F238E27FC236}">
              <a16:creationId xmlns:a16="http://schemas.microsoft.com/office/drawing/2014/main" id="{30B9056B-7CD9-4A0D-8EA7-09DE4E8BB50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038975" y="7391400"/>
          <a:ext cx="1838323" cy="542925"/>
        </a:xfrm>
        <a:prstGeom prst="rect">
          <a:avLst/>
        </a:prstGeom>
      </xdr:spPr>
    </xdr:pic>
    <xdr:clientData/>
  </xdr:oneCellAnchor>
  <xdr:twoCellAnchor>
    <xdr:from>
      <xdr:col>0</xdr:col>
      <xdr:colOff>0</xdr:colOff>
      <xdr:row>44</xdr:row>
      <xdr:rowOff>0</xdr:rowOff>
    </xdr:from>
    <xdr:to>
      <xdr:col>13</xdr:col>
      <xdr:colOff>9525</xdr:colOff>
      <xdr:row>47</xdr:row>
      <xdr:rowOff>57150</xdr:rowOff>
    </xdr:to>
    <xdr:sp macro="" textlink="">
      <xdr:nvSpPr>
        <xdr:cNvPr id="31" name="TextBox 30">
          <a:extLst>
            <a:ext uri="{FF2B5EF4-FFF2-40B4-BE49-F238E27FC236}">
              <a16:creationId xmlns:a16="http://schemas.microsoft.com/office/drawing/2014/main" id="{B75013FD-9AE4-42E2-A550-D6F348B1B87F}"/>
            </a:ext>
          </a:extLst>
        </xdr:cNvPr>
        <xdr:cNvSpPr txBox="1"/>
      </xdr:nvSpPr>
      <xdr:spPr>
        <a:xfrm>
          <a:off x="0" y="12782550"/>
          <a:ext cx="90963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114300</xdr:colOff>
      <xdr:row>47</xdr:row>
      <xdr:rowOff>95250</xdr:rowOff>
    </xdr:from>
    <xdr:to>
      <xdr:col>6</xdr:col>
      <xdr:colOff>206375</xdr:colOff>
      <xdr:row>50</xdr:row>
      <xdr:rowOff>127000</xdr:rowOff>
    </xdr:to>
    <xdr:sp macro="" textlink="">
      <xdr:nvSpPr>
        <xdr:cNvPr id="32" name="TextBox 31">
          <a:extLst>
            <a:ext uri="{FF2B5EF4-FFF2-40B4-BE49-F238E27FC236}">
              <a16:creationId xmlns:a16="http://schemas.microsoft.com/office/drawing/2014/main" id="{34F1E4DC-00CF-45AD-B171-455E2882601A}"/>
            </a:ext>
          </a:extLst>
        </xdr:cNvPr>
        <xdr:cNvSpPr txBox="1"/>
      </xdr:nvSpPr>
      <xdr:spPr>
        <a:xfrm>
          <a:off x="114300" y="13525500"/>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76200</xdr:colOff>
      <xdr:row>47</xdr:row>
      <xdr:rowOff>9525</xdr:rowOff>
    </xdr:from>
    <xdr:to>
      <xdr:col>3</xdr:col>
      <xdr:colOff>1444623</xdr:colOff>
      <xdr:row>51</xdr:row>
      <xdr:rowOff>0</xdr:rowOff>
    </xdr:to>
    <xdr:grpSp>
      <xdr:nvGrpSpPr>
        <xdr:cNvPr id="4" name="Group 3">
          <a:extLst>
            <a:ext uri="{FF2B5EF4-FFF2-40B4-BE49-F238E27FC236}">
              <a16:creationId xmlns:a16="http://schemas.microsoft.com/office/drawing/2014/main" id="{47C2F937-376B-4104-9374-F67193E0F039}"/>
            </a:ext>
          </a:extLst>
        </xdr:cNvPr>
        <xdr:cNvGrpSpPr/>
      </xdr:nvGrpSpPr>
      <xdr:grpSpPr>
        <a:xfrm>
          <a:off x="5334000" y="10687050"/>
          <a:ext cx="2949573" cy="714375"/>
          <a:chOff x="4629150" y="9553575"/>
          <a:chExt cx="2914648" cy="707143"/>
        </a:xfrm>
      </xdr:grpSpPr>
      <xdr:pic>
        <xdr:nvPicPr>
          <xdr:cNvPr id="5" name="InCalf logo">
            <a:extLst>
              <a:ext uri="{FF2B5EF4-FFF2-40B4-BE49-F238E27FC236}">
                <a16:creationId xmlns:a16="http://schemas.microsoft.com/office/drawing/2014/main" id="{7B643591-26D5-4BAA-BD44-5FED2953C4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6" name="DairyNZ logo (reverse)">
            <a:extLst>
              <a:ext uri="{FF2B5EF4-FFF2-40B4-BE49-F238E27FC236}">
                <a16:creationId xmlns:a16="http://schemas.microsoft.com/office/drawing/2014/main" id="{D9283758-C87E-4552-B045-499FDA46D3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3</xdr:col>
      <xdr:colOff>1000125</xdr:colOff>
      <xdr:row>0</xdr:row>
      <xdr:rowOff>114300</xdr:rowOff>
    </xdr:from>
    <xdr:to>
      <xdr:col>3</xdr:col>
      <xdr:colOff>1500754</xdr:colOff>
      <xdr:row>0</xdr:row>
      <xdr:rowOff>633633</xdr:rowOff>
    </xdr:to>
    <xdr:pic>
      <xdr:nvPicPr>
        <xdr:cNvPr id="7" name="Picture 6">
          <a:extLst>
            <a:ext uri="{FF2B5EF4-FFF2-40B4-BE49-F238E27FC236}">
              <a16:creationId xmlns:a16="http://schemas.microsoft.com/office/drawing/2014/main" id="{E5B1C87E-55CA-4CDC-A182-83CB7EABED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39075" y="114300"/>
          <a:ext cx="500629" cy="519333"/>
        </a:xfrm>
        <a:prstGeom prst="rect">
          <a:avLst/>
        </a:prstGeom>
      </xdr:spPr>
    </xdr:pic>
    <xdr:clientData/>
  </xdr:twoCellAnchor>
  <xdr:twoCellAnchor>
    <xdr:from>
      <xdr:col>0</xdr:col>
      <xdr:colOff>0</xdr:colOff>
      <xdr:row>43</xdr:row>
      <xdr:rowOff>76199</xdr:rowOff>
    </xdr:from>
    <xdr:to>
      <xdr:col>4</xdr:col>
      <xdr:colOff>0</xdr:colOff>
      <xdr:row>46</xdr:row>
      <xdr:rowOff>152399</xdr:rowOff>
    </xdr:to>
    <xdr:sp macro="" textlink="">
      <xdr:nvSpPr>
        <xdr:cNvPr id="9" name="TextBox 8">
          <a:extLst>
            <a:ext uri="{FF2B5EF4-FFF2-40B4-BE49-F238E27FC236}">
              <a16:creationId xmlns:a16="http://schemas.microsoft.com/office/drawing/2014/main" id="{881C41F0-E80B-4395-9D73-DBD48573F628}"/>
            </a:ext>
          </a:extLst>
        </xdr:cNvPr>
        <xdr:cNvSpPr txBox="1"/>
      </xdr:nvSpPr>
      <xdr:spPr>
        <a:xfrm>
          <a:off x="0" y="10029824"/>
          <a:ext cx="84201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38100</xdr:colOff>
      <xdr:row>47</xdr:row>
      <xdr:rowOff>76200</xdr:rowOff>
    </xdr:from>
    <xdr:to>
      <xdr:col>1</xdr:col>
      <xdr:colOff>568325</xdr:colOff>
      <xdr:row>50</xdr:row>
      <xdr:rowOff>107950</xdr:rowOff>
    </xdr:to>
    <xdr:sp macro="" textlink="">
      <xdr:nvSpPr>
        <xdr:cNvPr id="10" name="TextBox 9">
          <a:extLst>
            <a:ext uri="{FF2B5EF4-FFF2-40B4-BE49-F238E27FC236}">
              <a16:creationId xmlns:a16="http://schemas.microsoft.com/office/drawing/2014/main" id="{34ED1F56-5465-4E5F-B7F0-4702BCC6A88D}"/>
            </a:ext>
          </a:extLst>
        </xdr:cNvPr>
        <xdr:cNvSpPr txBox="1"/>
      </xdr:nvSpPr>
      <xdr:spPr>
        <a:xfrm>
          <a:off x="38100" y="14906625"/>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1209675</xdr:colOff>
      <xdr:row>49</xdr:row>
      <xdr:rowOff>47625</xdr:rowOff>
    </xdr:from>
    <xdr:to>
      <xdr:col>3</xdr:col>
      <xdr:colOff>1816098</xdr:colOff>
      <xdr:row>53</xdr:row>
      <xdr:rowOff>0</xdr:rowOff>
    </xdr:to>
    <xdr:grpSp>
      <xdr:nvGrpSpPr>
        <xdr:cNvPr id="4" name="Group 3">
          <a:extLst>
            <a:ext uri="{FF2B5EF4-FFF2-40B4-BE49-F238E27FC236}">
              <a16:creationId xmlns:a16="http://schemas.microsoft.com/office/drawing/2014/main" id="{246A3CB7-7737-4393-9938-F2DE862B65CA}"/>
            </a:ext>
          </a:extLst>
        </xdr:cNvPr>
        <xdr:cNvGrpSpPr/>
      </xdr:nvGrpSpPr>
      <xdr:grpSpPr>
        <a:xfrm>
          <a:off x="7029450" y="14544675"/>
          <a:ext cx="2673348" cy="676275"/>
          <a:chOff x="4629150" y="9553575"/>
          <a:chExt cx="2914648" cy="707143"/>
        </a:xfrm>
      </xdr:grpSpPr>
      <xdr:pic>
        <xdr:nvPicPr>
          <xdr:cNvPr id="5" name="InCalf logo">
            <a:extLst>
              <a:ext uri="{FF2B5EF4-FFF2-40B4-BE49-F238E27FC236}">
                <a16:creationId xmlns:a16="http://schemas.microsoft.com/office/drawing/2014/main" id="{A96FF290-3BD5-4CBB-A3D3-592221A6EF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6" name="DairyNZ logo (reverse)">
            <a:extLst>
              <a:ext uri="{FF2B5EF4-FFF2-40B4-BE49-F238E27FC236}">
                <a16:creationId xmlns:a16="http://schemas.microsoft.com/office/drawing/2014/main" id="{85341729-31BD-4C9F-AA4C-FFCADB6F44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3</xdr:col>
      <xdr:colOff>1352550</xdr:colOff>
      <xdr:row>0</xdr:row>
      <xdr:rowOff>76200</xdr:rowOff>
    </xdr:from>
    <xdr:to>
      <xdr:col>3</xdr:col>
      <xdr:colOff>1853179</xdr:colOff>
      <xdr:row>0</xdr:row>
      <xdr:rowOff>595533</xdr:rowOff>
    </xdr:to>
    <xdr:pic>
      <xdr:nvPicPr>
        <xdr:cNvPr id="7" name="Picture 6">
          <a:extLst>
            <a:ext uri="{FF2B5EF4-FFF2-40B4-BE49-F238E27FC236}">
              <a16:creationId xmlns:a16="http://schemas.microsoft.com/office/drawing/2014/main" id="{2536320B-334B-4B20-86D0-833680F7488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39250" y="76200"/>
          <a:ext cx="500629" cy="519333"/>
        </a:xfrm>
        <a:prstGeom prst="rect">
          <a:avLst/>
        </a:prstGeom>
      </xdr:spPr>
    </xdr:pic>
    <xdr:clientData/>
  </xdr:twoCellAnchor>
  <xdr:twoCellAnchor>
    <xdr:from>
      <xdr:col>0</xdr:col>
      <xdr:colOff>0</xdr:colOff>
      <xdr:row>47</xdr:row>
      <xdr:rowOff>0</xdr:rowOff>
    </xdr:from>
    <xdr:to>
      <xdr:col>4</xdr:col>
      <xdr:colOff>9525</xdr:colOff>
      <xdr:row>49</xdr:row>
      <xdr:rowOff>57150</xdr:rowOff>
    </xdr:to>
    <xdr:sp macro="" textlink="">
      <xdr:nvSpPr>
        <xdr:cNvPr id="9" name="TextBox 8">
          <a:extLst>
            <a:ext uri="{FF2B5EF4-FFF2-40B4-BE49-F238E27FC236}">
              <a16:creationId xmlns:a16="http://schemas.microsoft.com/office/drawing/2014/main" id="{C371F2C5-F019-41CE-9047-1A659D78FD60}"/>
            </a:ext>
          </a:extLst>
        </xdr:cNvPr>
        <xdr:cNvSpPr txBox="1"/>
      </xdr:nvSpPr>
      <xdr:spPr>
        <a:xfrm>
          <a:off x="0" y="14001750"/>
          <a:ext cx="99631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38100</xdr:colOff>
      <xdr:row>49</xdr:row>
      <xdr:rowOff>76200</xdr:rowOff>
    </xdr:from>
    <xdr:to>
      <xdr:col>1</xdr:col>
      <xdr:colOff>492125</xdr:colOff>
      <xdr:row>52</xdr:row>
      <xdr:rowOff>107950</xdr:rowOff>
    </xdr:to>
    <xdr:sp macro="" textlink="">
      <xdr:nvSpPr>
        <xdr:cNvPr id="10" name="TextBox 9">
          <a:extLst>
            <a:ext uri="{FF2B5EF4-FFF2-40B4-BE49-F238E27FC236}">
              <a16:creationId xmlns:a16="http://schemas.microsoft.com/office/drawing/2014/main" id="{568F4E59-F2AA-4A60-A024-0BF8FBF1079E}"/>
            </a:ext>
          </a:extLst>
        </xdr:cNvPr>
        <xdr:cNvSpPr txBox="1"/>
      </xdr:nvSpPr>
      <xdr:spPr>
        <a:xfrm>
          <a:off x="38100" y="14573250"/>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2316413</xdr:colOff>
      <xdr:row>24</xdr:row>
      <xdr:rowOff>114299</xdr:rowOff>
    </xdr:from>
    <xdr:to>
      <xdr:col>1</xdr:col>
      <xdr:colOff>4683123</xdr:colOff>
      <xdr:row>27</xdr:row>
      <xdr:rowOff>151517</xdr:rowOff>
    </xdr:to>
    <xdr:grpSp>
      <xdr:nvGrpSpPr>
        <xdr:cNvPr id="4" name="Group 3">
          <a:extLst>
            <a:ext uri="{FF2B5EF4-FFF2-40B4-BE49-F238E27FC236}">
              <a16:creationId xmlns:a16="http://schemas.microsoft.com/office/drawing/2014/main" id="{6777C1DA-D215-4186-9E93-DB6AE2A4964B}"/>
            </a:ext>
          </a:extLst>
        </xdr:cNvPr>
        <xdr:cNvGrpSpPr/>
      </xdr:nvGrpSpPr>
      <xdr:grpSpPr>
        <a:xfrm>
          <a:off x="3973763" y="10125074"/>
          <a:ext cx="2366710" cy="580143"/>
          <a:chOff x="4629150" y="9553575"/>
          <a:chExt cx="2914648" cy="707143"/>
        </a:xfrm>
      </xdr:grpSpPr>
      <xdr:pic>
        <xdr:nvPicPr>
          <xdr:cNvPr id="5" name="InCalf logo">
            <a:extLst>
              <a:ext uri="{FF2B5EF4-FFF2-40B4-BE49-F238E27FC236}">
                <a16:creationId xmlns:a16="http://schemas.microsoft.com/office/drawing/2014/main" id="{326180CC-D94C-4214-94F8-E419D1DA2F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6" name="DairyNZ logo (reverse)">
            <a:extLst>
              <a:ext uri="{FF2B5EF4-FFF2-40B4-BE49-F238E27FC236}">
                <a16:creationId xmlns:a16="http://schemas.microsoft.com/office/drawing/2014/main" id="{5F4751A1-25BF-4BDA-BC8D-64CFAFD917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xdr:from>
      <xdr:col>0</xdr:col>
      <xdr:colOff>0</xdr:colOff>
      <xdr:row>20</xdr:row>
      <xdr:rowOff>0</xdr:rowOff>
    </xdr:from>
    <xdr:to>
      <xdr:col>2</xdr:col>
      <xdr:colOff>38100</xdr:colOff>
      <xdr:row>23</xdr:row>
      <xdr:rowOff>171450</xdr:rowOff>
    </xdr:to>
    <xdr:sp macro="" textlink="">
      <xdr:nvSpPr>
        <xdr:cNvPr id="9" name="TextBox 8">
          <a:extLst>
            <a:ext uri="{FF2B5EF4-FFF2-40B4-BE49-F238E27FC236}">
              <a16:creationId xmlns:a16="http://schemas.microsoft.com/office/drawing/2014/main" id="{F47893E2-1868-491E-ABFA-C63D1FB78E5B}"/>
            </a:ext>
          </a:extLst>
        </xdr:cNvPr>
        <xdr:cNvSpPr txBox="1"/>
      </xdr:nvSpPr>
      <xdr:spPr>
        <a:xfrm>
          <a:off x="0" y="9286875"/>
          <a:ext cx="65627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1</xdr:colOff>
      <xdr:row>24</xdr:row>
      <xdr:rowOff>0</xdr:rowOff>
    </xdr:from>
    <xdr:to>
      <xdr:col>1</xdr:col>
      <xdr:colOff>2162175</xdr:colOff>
      <xdr:row>27</xdr:row>
      <xdr:rowOff>152400</xdr:rowOff>
    </xdr:to>
    <xdr:sp macro="" textlink="">
      <xdr:nvSpPr>
        <xdr:cNvPr id="10" name="TextBox 9">
          <a:extLst>
            <a:ext uri="{FF2B5EF4-FFF2-40B4-BE49-F238E27FC236}">
              <a16:creationId xmlns:a16="http://schemas.microsoft.com/office/drawing/2014/main" id="{8B8D5497-B64F-4248-8EA2-78BD7BA7647E}"/>
            </a:ext>
          </a:extLst>
        </xdr:cNvPr>
        <xdr:cNvSpPr txBox="1"/>
      </xdr:nvSpPr>
      <xdr:spPr>
        <a:xfrm>
          <a:off x="1" y="10010775"/>
          <a:ext cx="3819524"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twoCellAnchor editAs="oneCell">
    <xdr:from>
      <xdr:col>1</xdr:col>
      <xdr:colOff>4238625</xdr:colOff>
      <xdr:row>0</xdr:row>
      <xdr:rowOff>133350</xdr:rowOff>
    </xdr:from>
    <xdr:to>
      <xdr:col>1</xdr:col>
      <xdr:colOff>4739254</xdr:colOff>
      <xdr:row>0</xdr:row>
      <xdr:rowOff>652683</xdr:rowOff>
    </xdr:to>
    <xdr:pic>
      <xdr:nvPicPr>
        <xdr:cNvPr id="11" name="Picture 10">
          <a:extLst>
            <a:ext uri="{FF2B5EF4-FFF2-40B4-BE49-F238E27FC236}">
              <a16:creationId xmlns:a16="http://schemas.microsoft.com/office/drawing/2014/main" id="{E00F2057-34F5-4F6B-9E50-4EC7F89E58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95975" y="133350"/>
          <a:ext cx="500629" cy="519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4629150</xdr:colOff>
      <xdr:row>26</xdr:row>
      <xdr:rowOff>66675</xdr:rowOff>
    </xdr:from>
    <xdr:to>
      <xdr:col>1</xdr:col>
      <xdr:colOff>152398</xdr:colOff>
      <xdr:row>30</xdr:row>
      <xdr:rowOff>49918</xdr:rowOff>
    </xdr:to>
    <xdr:grpSp>
      <xdr:nvGrpSpPr>
        <xdr:cNvPr id="2" name="Group 1">
          <a:extLst>
            <a:ext uri="{FF2B5EF4-FFF2-40B4-BE49-F238E27FC236}">
              <a16:creationId xmlns:a16="http://schemas.microsoft.com/office/drawing/2014/main" id="{2378D838-FC8C-40BD-A7EC-B69B1DEB315D}"/>
            </a:ext>
          </a:extLst>
        </xdr:cNvPr>
        <xdr:cNvGrpSpPr/>
      </xdr:nvGrpSpPr>
      <xdr:grpSpPr>
        <a:xfrm>
          <a:off x="4629150" y="11001375"/>
          <a:ext cx="2914648" cy="657225"/>
          <a:chOff x="4629150" y="9553575"/>
          <a:chExt cx="2914648" cy="707143"/>
        </a:xfrm>
      </xdr:grpSpPr>
      <xdr:pic>
        <xdr:nvPicPr>
          <xdr:cNvPr id="6" name="InCalf logo">
            <a:extLst>
              <a:ext uri="{FF2B5EF4-FFF2-40B4-BE49-F238E27FC236}">
                <a16:creationId xmlns:a16="http://schemas.microsoft.com/office/drawing/2014/main" id="{2FF0CA68-49A1-4877-90FB-239E8FBEFF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7" name="DairyNZ logo (reverse)">
            <a:extLst>
              <a:ext uri="{FF2B5EF4-FFF2-40B4-BE49-F238E27FC236}">
                <a16:creationId xmlns:a16="http://schemas.microsoft.com/office/drawing/2014/main" id="{586937A4-6B08-4395-962C-5CEFBF69BE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xdr:from>
      <xdr:col>0</xdr:col>
      <xdr:colOff>203200</xdr:colOff>
      <xdr:row>26</xdr:row>
      <xdr:rowOff>95250</xdr:rowOff>
    </xdr:from>
    <xdr:to>
      <xdr:col>0</xdr:col>
      <xdr:colOff>4410075</xdr:colOff>
      <xdr:row>29</xdr:row>
      <xdr:rowOff>127000</xdr:rowOff>
    </xdr:to>
    <xdr:sp macro="" textlink="">
      <xdr:nvSpPr>
        <xdr:cNvPr id="8" name="TextBox 7">
          <a:extLst>
            <a:ext uri="{FF2B5EF4-FFF2-40B4-BE49-F238E27FC236}">
              <a16:creationId xmlns:a16="http://schemas.microsoft.com/office/drawing/2014/main" id="{00FEC89F-F56E-40B5-BA4D-42A1508C3C60}"/>
            </a:ext>
          </a:extLst>
        </xdr:cNvPr>
        <xdr:cNvSpPr txBox="1"/>
      </xdr:nvSpPr>
      <xdr:spPr>
        <a:xfrm>
          <a:off x="203200" y="9772650"/>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twoCellAnchor editAs="oneCell">
    <xdr:from>
      <xdr:col>0</xdr:col>
      <xdr:colOff>7010400</xdr:colOff>
      <xdr:row>0</xdr:row>
      <xdr:rowOff>95250</xdr:rowOff>
    </xdr:from>
    <xdr:to>
      <xdr:col>1</xdr:col>
      <xdr:colOff>119629</xdr:colOff>
      <xdr:row>0</xdr:row>
      <xdr:rowOff>614583</xdr:rowOff>
    </xdr:to>
    <xdr:pic>
      <xdr:nvPicPr>
        <xdr:cNvPr id="9" name="Picture 8">
          <a:extLst>
            <a:ext uri="{FF2B5EF4-FFF2-40B4-BE49-F238E27FC236}">
              <a16:creationId xmlns:a16="http://schemas.microsoft.com/office/drawing/2014/main" id="{784BA5DA-678F-4B7F-9AB4-8B408EE342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10400" y="95250"/>
          <a:ext cx="500629" cy="519333"/>
        </a:xfrm>
        <a:prstGeom prst="rect">
          <a:avLst/>
        </a:prstGeom>
      </xdr:spPr>
    </xdr:pic>
    <xdr:clientData/>
  </xdr:twoCellAnchor>
  <xdr:twoCellAnchor>
    <xdr:from>
      <xdr:col>0</xdr:col>
      <xdr:colOff>0</xdr:colOff>
      <xdr:row>22</xdr:row>
      <xdr:rowOff>19049</xdr:rowOff>
    </xdr:from>
    <xdr:to>
      <xdr:col>1</xdr:col>
      <xdr:colOff>219075</xdr:colOff>
      <xdr:row>25</xdr:row>
      <xdr:rowOff>152399</xdr:rowOff>
    </xdr:to>
    <xdr:sp macro="" textlink="">
      <xdr:nvSpPr>
        <xdr:cNvPr id="10" name="TextBox 9">
          <a:extLst>
            <a:ext uri="{FF2B5EF4-FFF2-40B4-BE49-F238E27FC236}">
              <a16:creationId xmlns:a16="http://schemas.microsoft.com/office/drawing/2014/main" id="{276C734B-24E5-49D9-B16A-64D95C037446}"/>
            </a:ext>
          </a:extLst>
        </xdr:cNvPr>
        <xdr:cNvSpPr txBox="1"/>
      </xdr:nvSpPr>
      <xdr:spPr>
        <a:xfrm>
          <a:off x="0" y="10591799"/>
          <a:ext cx="76104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1940717</xdr:colOff>
      <xdr:row>52</xdr:row>
      <xdr:rowOff>76200</xdr:rowOff>
    </xdr:from>
    <xdr:to>
      <xdr:col>5</xdr:col>
      <xdr:colOff>1066797</xdr:colOff>
      <xdr:row>56</xdr:row>
      <xdr:rowOff>0</xdr:rowOff>
    </xdr:to>
    <xdr:grpSp>
      <xdr:nvGrpSpPr>
        <xdr:cNvPr id="2" name="Group 1">
          <a:extLst>
            <a:ext uri="{FF2B5EF4-FFF2-40B4-BE49-F238E27FC236}">
              <a16:creationId xmlns:a16="http://schemas.microsoft.com/office/drawing/2014/main" id="{CAAA7CA7-004E-40EB-8A49-66347F8764BC}"/>
            </a:ext>
          </a:extLst>
        </xdr:cNvPr>
        <xdr:cNvGrpSpPr/>
      </xdr:nvGrpSpPr>
      <xdr:grpSpPr>
        <a:xfrm>
          <a:off x="7453311" y="9446419"/>
          <a:ext cx="2602705" cy="638175"/>
          <a:chOff x="4629150" y="9553575"/>
          <a:chExt cx="2914648" cy="707143"/>
        </a:xfrm>
      </xdr:grpSpPr>
      <xdr:pic>
        <xdr:nvPicPr>
          <xdr:cNvPr id="3" name="InCalf logo">
            <a:extLst>
              <a:ext uri="{FF2B5EF4-FFF2-40B4-BE49-F238E27FC236}">
                <a16:creationId xmlns:a16="http://schemas.microsoft.com/office/drawing/2014/main" id="{630ADFC0-8CEF-4E4D-B1B2-033D32AEF3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4" name="DairyNZ logo (reverse)">
            <a:extLst>
              <a:ext uri="{FF2B5EF4-FFF2-40B4-BE49-F238E27FC236}">
                <a16:creationId xmlns:a16="http://schemas.microsoft.com/office/drawing/2014/main" id="{34FAAAE1-8E44-4AB1-A169-B65A7C098A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5</xdr:col>
      <xdr:colOff>623887</xdr:colOff>
      <xdr:row>0</xdr:row>
      <xdr:rowOff>126206</xdr:rowOff>
    </xdr:from>
    <xdr:to>
      <xdr:col>5</xdr:col>
      <xdr:colOff>1124516</xdr:colOff>
      <xdr:row>0</xdr:row>
      <xdr:rowOff>645539</xdr:rowOff>
    </xdr:to>
    <xdr:pic>
      <xdr:nvPicPr>
        <xdr:cNvPr id="5" name="Picture 4">
          <a:extLst>
            <a:ext uri="{FF2B5EF4-FFF2-40B4-BE49-F238E27FC236}">
              <a16:creationId xmlns:a16="http://schemas.microsoft.com/office/drawing/2014/main" id="{D657E0BF-FE92-440D-804D-5C7DE7596F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13106" y="126206"/>
          <a:ext cx="500629" cy="519333"/>
        </a:xfrm>
        <a:prstGeom prst="rect">
          <a:avLst/>
        </a:prstGeom>
      </xdr:spPr>
    </xdr:pic>
    <xdr:clientData/>
  </xdr:twoCellAnchor>
  <xdr:twoCellAnchor>
    <xdr:from>
      <xdr:col>0</xdr:col>
      <xdr:colOff>9525</xdr:colOff>
      <xdr:row>33</xdr:row>
      <xdr:rowOff>59531</xdr:rowOff>
    </xdr:from>
    <xdr:to>
      <xdr:col>5</xdr:col>
      <xdr:colOff>1181100</xdr:colOff>
      <xdr:row>52</xdr:row>
      <xdr:rowOff>35718</xdr:rowOff>
    </xdr:to>
    <xdr:sp macro="" textlink="">
      <xdr:nvSpPr>
        <xdr:cNvPr id="8" name="TextBox 7">
          <a:extLst>
            <a:ext uri="{FF2B5EF4-FFF2-40B4-BE49-F238E27FC236}">
              <a16:creationId xmlns:a16="http://schemas.microsoft.com/office/drawing/2014/main" id="{428741B3-D8ED-46C4-A5B2-6F5ECCFCEBE9}"/>
            </a:ext>
          </a:extLst>
        </xdr:cNvPr>
        <xdr:cNvSpPr txBox="1"/>
      </xdr:nvSpPr>
      <xdr:spPr>
        <a:xfrm>
          <a:off x="9525" y="8822531"/>
          <a:ext cx="10160794" cy="583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123825</xdr:colOff>
      <xdr:row>52</xdr:row>
      <xdr:rowOff>85725</xdr:rowOff>
    </xdr:from>
    <xdr:to>
      <xdr:col>1</xdr:col>
      <xdr:colOff>854075</xdr:colOff>
      <xdr:row>55</xdr:row>
      <xdr:rowOff>117475</xdr:rowOff>
    </xdr:to>
    <xdr:sp macro="" textlink="">
      <xdr:nvSpPr>
        <xdr:cNvPr id="9" name="TextBox 8">
          <a:extLst>
            <a:ext uri="{FF2B5EF4-FFF2-40B4-BE49-F238E27FC236}">
              <a16:creationId xmlns:a16="http://schemas.microsoft.com/office/drawing/2014/main" id="{114BEE2B-EF73-468E-8463-A4B7F0BEE028}"/>
            </a:ext>
            <a:ext uri="{147F2762-F138-4A5C-976F-8EAC2B608ADB}">
              <a16:predDERef xmlns:a16="http://schemas.microsoft.com/office/drawing/2014/main" pred="{428741B3-D8ED-46C4-A5B2-6F5ECCFCEBE9}"/>
            </a:ext>
          </a:extLst>
        </xdr:cNvPr>
        <xdr:cNvSpPr txBox="1"/>
      </xdr:nvSpPr>
      <xdr:spPr>
        <a:xfrm>
          <a:off x="123825" y="9925050"/>
          <a:ext cx="4349750"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29</xdr:row>
      <xdr:rowOff>161925</xdr:rowOff>
    </xdr:from>
    <xdr:to>
      <xdr:col>6</xdr:col>
      <xdr:colOff>1190625</xdr:colOff>
      <xdr:row>51</xdr:row>
      <xdr:rowOff>28573</xdr:rowOff>
    </xdr:to>
    <xdr:grpSp>
      <xdr:nvGrpSpPr>
        <xdr:cNvPr id="2" name="Group 1">
          <a:extLst>
            <a:ext uri="{FF2B5EF4-FFF2-40B4-BE49-F238E27FC236}">
              <a16:creationId xmlns:a16="http://schemas.microsoft.com/office/drawing/2014/main" id="{58D14B07-CFF6-4C57-BF58-7410E970B1D6}"/>
            </a:ext>
          </a:extLst>
        </xdr:cNvPr>
        <xdr:cNvGrpSpPr/>
      </xdr:nvGrpSpPr>
      <xdr:grpSpPr>
        <a:xfrm>
          <a:off x="638175" y="7696200"/>
          <a:ext cx="8953500" cy="5314948"/>
          <a:chOff x="599872" y="5391917"/>
          <a:chExt cx="9001125" cy="4905375"/>
        </a:xfrm>
      </xdr:grpSpPr>
      <xdr:graphicFrame macro="">
        <xdr:nvGraphicFramePr>
          <xdr:cNvPr id="4" name="Chart 3">
            <a:extLst>
              <a:ext uri="{FF2B5EF4-FFF2-40B4-BE49-F238E27FC236}">
                <a16:creationId xmlns:a16="http://schemas.microsoft.com/office/drawing/2014/main" id="{A3DBC967-AA08-4A9C-872C-971F3E725513}"/>
              </a:ext>
            </a:extLst>
          </xdr:cNvPr>
          <xdr:cNvGraphicFramePr/>
        </xdr:nvGraphicFramePr>
        <xdr:xfrm>
          <a:off x="599872" y="5391917"/>
          <a:ext cx="9001125" cy="4905375"/>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9" name="Picture 8">
            <a:extLst>
              <a:ext uri="{FF2B5EF4-FFF2-40B4-BE49-F238E27FC236}">
                <a16:creationId xmlns:a16="http://schemas.microsoft.com/office/drawing/2014/main" id="{FB9DF3F4-E35E-44EE-9574-321EFE6DBA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7123" y="5498035"/>
            <a:ext cx="781050" cy="544488"/>
          </a:xfrm>
          <a:prstGeom prst="rect">
            <a:avLst/>
          </a:prstGeom>
        </xdr:spPr>
      </xdr:pic>
      <xdr:pic>
        <xdr:nvPicPr>
          <xdr:cNvPr id="10" name="Picture 9">
            <a:extLst>
              <a:ext uri="{FF2B5EF4-FFF2-40B4-BE49-F238E27FC236}">
                <a16:creationId xmlns:a16="http://schemas.microsoft.com/office/drawing/2014/main" id="{578B27BC-2CDF-4549-B61B-F46681449C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9576" y="5581370"/>
            <a:ext cx="1162049" cy="344635"/>
          </a:xfrm>
          <a:prstGeom prst="rect">
            <a:avLst/>
          </a:prstGeom>
        </xdr:spPr>
      </xdr:pic>
    </xdr:grpSp>
    <xdr:clientData/>
  </xdr:twoCellAnchor>
  <xdr:twoCellAnchor>
    <xdr:from>
      <xdr:col>3</xdr:col>
      <xdr:colOff>712786</xdr:colOff>
      <xdr:row>14</xdr:row>
      <xdr:rowOff>38100</xdr:rowOff>
    </xdr:from>
    <xdr:to>
      <xdr:col>7</xdr:col>
      <xdr:colOff>182611</xdr:colOff>
      <xdr:row>26</xdr:row>
      <xdr:rowOff>223750</xdr:rowOff>
    </xdr:to>
    <xdr:grpSp>
      <xdr:nvGrpSpPr>
        <xdr:cNvPr id="11" name="Group 10">
          <a:extLst>
            <a:ext uri="{FF2B5EF4-FFF2-40B4-BE49-F238E27FC236}">
              <a16:creationId xmlns:a16="http://schemas.microsoft.com/office/drawing/2014/main" id="{0CAE1AA5-1446-4C7A-A9AC-9B11F3422BDB}"/>
            </a:ext>
          </a:extLst>
        </xdr:cNvPr>
        <xdr:cNvGrpSpPr/>
      </xdr:nvGrpSpPr>
      <xdr:grpSpPr>
        <a:xfrm>
          <a:off x="5199061" y="3857625"/>
          <a:ext cx="4689525" cy="3157450"/>
          <a:chOff x="5258601" y="3737537"/>
          <a:chExt cx="4948239" cy="3413124"/>
        </a:xfrm>
      </xdr:grpSpPr>
      <xdr:graphicFrame macro="">
        <xdr:nvGraphicFramePr>
          <xdr:cNvPr id="3" name="Chart 2">
            <a:extLst>
              <a:ext uri="{FF2B5EF4-FFF2-40B4-BE49-F238E27FC236}">
                <a16:creationId xmlns:a16="http://schemas.microsoft.com/office/drawing/2014/main" id="{FBAE0F28-E14B-4684-B6D1-50FB113B1772}"/>
              </a:ext>
            </a:extLst>
          </xdr:cNvPr>
          <xdr:cNvGraphicFramePr/>
        </xdr:nvGraphicFramePr>
        <xdr:xfrm>
          <a:off x="5258601" y="3737537"/>
          <a:ext cx="4948239" cy="3413124"/>
        </xdr:xfrm>
        <a:graphic>
          <a:graphicData uri="http://schemas.openxmlformats.org/drawingml/2006/chart">
            <c:chart xmlns:c="http://schemas.openxmlformats.org/drawingml/2006/chart" xmlns:r="http://schemas.openxmlformats.org/officeDocument/2006/relationships" r:id="rId4"/>
          </a:graphicData>
        </a:graphic>
      </xdr:graphicFrame>
      <xdr:pic>
        <xdr:nvPicPr>
          <xdr:cNvPr id="13" name="Picture 12">
            <a:extLst>
              <a:ext uri="{FF2B5EF4-FFF2-40B4-BE49-F238E27FC236}">
                <a16:creationId xmlns:a16="http://schemas.microsoft.com/office/drawing/2014/main" id="{C87CE0F6-C040-4757-A03E-458B434F0F5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79265" y="3862132"/>
            <a:ext cx="723899" cy="221041"/>
          </a:xfrm>
          <a:prstGeom prst="rect">
            <a:avLst/>
          </a:prstGeom>
        </xdr:spPr>
      </xdr:pic>
      <xdr:pic>
        <xdr:nvPicPr>
          <xdr:cNvPr id="14" name="Picture 13">
            <a:extLst>
              <a:ext uri="{FF2B5EF4-FFF2-40B4-BE49-F238E27FC236}">
                <a16:creationId xmlns:a16="http://schemas.microsoft.com/office/drawing/2014/main" id="{7DB52EE9-363A-470F-8F0B-A80C242A65C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19990" y="3820857"/>
            <a:ext cx="476250" cy="338355"/>
          </a:xfrm>
          <a:prstGeom prst="rect">
            <a:avLst/>
          </a:prstGeom>
        </xdr:spPr>
      </xdr:pic>
    </xdr:grpSp>
    <xdr:clientData/>
  </xdr:twoCellAnchor>
  <xdr:twoCellAnchor>
    <xdr:from>
      <xdr:col>0</xdr:col>
      <xdr:colOff>395287</xdr:colOff>
      <xdr:row>14</xdr:row>
      <xdr:rowOff>34925</xdr:rowOff>
    </xdr:from>
    <xdr:to>
      <xdr:col>3</xdr:col>
      <xdr:colOff>601713</xdr:colOff>
      <xdr:row>26</xdr:row>
      <xdr:rowOff>220575</xdr:rowOff>
    </xdr:to>
    <xdr:grpSp>
      <xdr:nvGrpSpPr>
        <xdr:cNvPr id="6" name="Group 5">
          <a:extLst>
            <a:ext uri="{FF2B5EF4-FFF2-40B4-BE49-F238E27FC236}">
              <a16:creationId xmlns:a16="http://schemas.microsoft.com/office/drawing/2014/main" id="{B9DCB028-106C-4B9A-9AC7-FF54DCC81ACE}"/>
            </a:ext>
          </a:extLst>
        </xdr:cNvPr>
        <xdr:cNvGrpSpPr/>
      </xdr:nvGrpSpPr>
      <xdr:grpSpPr>
        <a:xfrm>
          <a:off x="395287" y="3854450"/>
          <a:ext cx="4692701" cy="3157450"/>
          <a:chOff x="339839" y="6613037"/>
          <a:chExt cx="4792663" cy="3340100"/>
        </a:xfrm>
      </xdr:grpSpPr>
      <xdr:graphicFrame macro="">
        <xdr:nvGraphicFramePr>
          <xdr:cNvPr id="7" name="Chart 6">
            <a:extLst>
              <a:ext uri="{FF2B5EF4-FFF2-40B4-BE49-F238E27FC236}">
                <a16:creationId xmlns:a16="http://schemas.microsoft.com/office/drawing/2014/main" id="{E864ADAD-D21A-49EB-8D3F-CA2E40243F1A}"/>
              </a:ext>
            </a:extLst>
          </xdr:cNvPr>
          <xdr:cNvGraphicFramePr/>
        </xdr:nvGraphicFramePr>
        <xdr:xfrm>
          <a:off x="339839" y="6613037"/>
          <a:ext cx="4792663" cy="3340100"/>
        </xdr:xfrm>
        <a:graphic>
          <a:graphicData uri="http://schemas.openxmlformats.org/drawingml/2006/chart">
            <c:chart xmlns:c="http://schemas.openxmlformats.org/drawingml/2006/chart" xmlns:r="http://schemas.openxmlformats.org/officeDocument/2006/relationships" r:id="rId7"/>
          </a:graphicData>
        </a:graphic>
      </xdr:graphicFrame>
      <xdr:pic>
        <xdr:nvPicPr>
          <xdr:cNvPr id="12" name="Picture 11">
            <a:extLst>
              <a:ext uri="{FF2B5EF4-FFF2-40B4-BE49-F238E27FC236}">
                <a16:creationId xmlns:a16="http://schemas.microsoft.com/office/drawing/2014/main" id="{9B343A66-FCE9-4161-8EBA-E247E08042F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98760" y="6768194"/>
            <a:ext cx="752474" cy="229515"/>
          </a:xfrm>
          <a:prstGeom prst="rect">
            <a:avLst/>
          </a:prstGeom>
        </xdr:spPr>
      </xdr:pic>
      <xdr:pic>
        <xdr:nvPicPr>
          <xdr:cNvPr id="15" name="Picture 14">
            <a:extLst>
              <a:ext uri="{FF2B5EF4-FFF2-40B4-BE49-F238E27FC236}">
                <a16:creationId xmlns:a16="http://schemas.microsoft.com/office/drawing/2014/main" id="{6ACCB795-0F83-47DE-AE80-8F8074C48A3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467100" y="6739067"/>
            <a:ext cx="473075" cy="338355"/>
          </a:xfrm>
          <a:prstGeom prst="rect">
            <a:avLst/>
          </a:prstGeom>
        </xdr:spPr>
      </xdr:pic>
    </xdr:grpSp>
    <xdr:clientData/>
  </xdr:twoCellAnchor>
  <xdr:twoCellAnchor>
    <xdr:from>
      <xdr:col>5</xdr:col>
      <xdr:colOff>323850</xdr:colOff>
      <xdr:row>59</xdr:row>
      <xdr:rowOff>31750</xdr:rowOff>
    </xdr:from>
    <xdr:to>
      <xdr:col>7</xdr:col>
      <xdr:colOff>377823</xdr:colOff>
      <xdr:row>63</xdr:row>
      <xdr:rowOff>0</xdr:rowOff>
    </xdr:to>
    <xdr:grpSp>
      <xdr:nvGrpSpPr>
        <xdr:cNvPr id="16" name="Group 15">
          <a:extLst>
            <a:ext uri="{FF2B5EF4-FFF2-40B4-BE49-F238E27FC236}">
              <a16:creationId xmlns:a16="http://schemas.microsoft.com/office/drawing/2014/main" id="{26D42D51-1A37-4626-A1B8-14D62642B9A7}"/>
            </a:ext>
          </a:extLst>
        </xdr:cNvPr>
        <xdr:cNvGrpSpPr/>
      </xdr:nvGrpSpPr>
      <xdr:grpSpPr>
        <a:xfrm>
          <a:off x="7419975" y="14252575"/>
          <a:ext cx="2663823" cy="692150"/>
          <a:chOff x="4629150" y="9553575"/>
          <a:chExt cx="2914648" cy="707143"/>
        </a:xfrm>
      </xdr:grpSpPr>
      <xdr:pic>
        <xdr:nvPicPr>
          <xdr:cNvPr id="17" name="InCalf logo">
            <a:extLst>
              <a:ext uri="{FF2B5EF4-FFF2-40B4-BE49-F238E27FC236}">
                <a16:creationId xmlns:a16="http://schemas.microsoft.com/office/drawing/2014/main" id="{94A05542-BB5C-4331-AE1E-11C05547C61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18" name="DairyNZ logo (reverse)">
            <a:extLst>
              <a:ext uri="{FF2B5EF4-FFF2-40B4-BE49-F238E27FC236}">
                <a16:creationId xmlns:a16="http://schemas.microsoft.com/office/drawing/2014/main" id="{C153EC72-3C82-4392-84F3-4FC1BCD7D42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6</xdr:col>
      <xdr:colOff>1266825</xdr:colOff>
      <xdr:row>0</xdr:row>
      <xdr:rowOff>133350</xdr:rowOff>
    </xdr:from>
    <xdr:to>
      <xdr:col>7</xdr:col>
      <xdr:colOff>462529</xdr:colOff>
      <xdr:row>0</xdr:row>
      <xdr:rowOff>652683</xdr:rowOff>
    </xdr:to>
    <xdr:pic>
      <xdr:nvPicPr>
        <xdr:cNvPr id="19" name="Picture 18">
          <a:extLst>
            <a:ext uri="{FF2B5EF4-FFF2-40B4-BE49-F238E27FC236}">
              <a16:creationId xmlns:a16="http://schemas.microsoft.com/office/drawing/2014/main" id="{566AF3F2-C697-44D6-A7BB-B9A9A3C5966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667875" y="133350"/>
          <a:ext cx="500629" cy="519333"/>
        </a:xfrm>
        <a:prstGeom prst="rect">
          <a:avLst/>
        </a:prstGeom>
      </xdr:spPr>
    </xdr:pic>
    <xdr:clientData/>
  </xdr:twoCellAnchor>
  <xdr:twoCellAnchor>
    <xdr:from>
      <xdr:col>0</xdr:col>
      <xdr:colOff>0</xdr:colOff>
      <xdr:row>56</xdr:row>
      <xdr:rowOff>152400</xdr:rowOff>
    </xdr:from>
    <xdr:to>
      <xdr:col>7</xdr:col>
      <xdr:colOff>581025</xdr:colOff>
      <xdr:row>58</xdr:row>
      <xdr:rowOff>209550</xdr:rowOff>
    </xdr:to>
    <xdr:sp macro="" textlink="">
      <xdr:nvSpPr>
        <xdr:cNvPr id="21" name="TextBox 20">
          <a:extLst>
            <a:ext uri="{FF2B5EF4-FFF2-40B4-BE49-F238E27FC236}">
              <a16:creationId xmlns:a16="http://schemas.microsoft.com/office/drawing/2014/main" id="{88A04B73-D079-40FC-A27F-B80CF1A2ABEA}"/>
            </a:ext>
          </a:extLst>
        </xdr:cNvPr>
        <xdr:cNvSpPr txBox="1"/>
      </xdr:nvSpPr>
      <xdr:spPr>
        <a:xfrm>
          <a:off x="0" y="14420850"/>
          <a:ext cx="1028700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104775</xdr:colOff>
      <xdr:row>59</xdr:row>
      <xdr:rowOff>66675</xdr:rowOff>
    </xdr:from>
    <xdr:to>
      <xdr:col>2</xdr:col>
      <xdr:colOff>1130300</xdr:colOff>
      <xdr:row>62</xdr:row>
      <xdr:rowOff>98425</xdr:rowOff>
    </xdr:to>
    <xdr:sp macro="" textlink="">
      <xdr:nvSpPr>
        <xdr:cNvPr id="22" name="TextBox 21">
          <a:extLst>
            <a:ext uri="{FF2B5EF4-FFF2-40B4-BE49-F238E27FC236}">
              <a16:creationId xmlns:a16="http://schemas.microsoft.com/office/drawing/2014/main" id="{9F489136-91FD-4E50-B9BF-A4FE15EED643}"/>
            </a:ext>
          </a:extLst>
        </xdr:cNvPr>
        <xdr:cNvSpPr txBox="1"/>
      </xdr:nvSpPr>
      <xdr:spPr>
        <a:xfrm>
          <a:off x="104775" y="14335125"/>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1028700</xdr:colOff>
      <xdr:row>36</xdr:row>
      <xdr:rowOff>63500</xdr:rowOff>
    </xdr:from>
    <xdr:to>
      <xdr:col>3</xdr:col>
      <xdr:colOff>1676398</xdr:colOff>
      <xdr:row>40</xdr:row>
      <xdr:rowOff>0</xdr:rowOff>
    </xdr:to>
    <xdr:grpSp>
      <xdr:nvGrpSpPr>
        <xdr:cNvPr id="8" name="Group 7">
          <a:extLst>
            <a:ext uri="{FF2B5EF4-FFF2-40B4-BE49-F238E27FC236}">
              <a16:creationId xmlns:a16="http://schemas.microsoft.com/office/drawing/2014/main" id="{3CAB9A5C-91D1-40B0-9305-D2F7B9A4E820}"/>
            </a:ext>
          </a:extLst>
        </xdr:cNvPr>
        <xdr:cNvGrpSpPr/>
      </xdr:nvGrpSpPr>
      <xdr:grpSpPr>
        <a:xfrm>
          <a:off x="6829425" y="10693400"/>
          <a:ext cx="2476498" cy="698500"/>
          <a:chOff x="4629150" y="9553575"/>
          <a:chExt cx="2914648" cy="707143"/>
        </a:xfrm>
      </xdr:grpSpPr>
      <xdr:pic>
        <xdr:nvPicPr>
          <xdr:cNvPr id="9" name="InCalf logo">
            <a:extLst>
              <a:ext uri="{FF2B5EF4-FFF2-40B4-BE49-F238E27FC236}">
                <a16:creationId xmlns:a16="http://schemas.microsoft.com/office/drawing/2014/main" id="{F587B085-169C-45F5-87C2-1744470572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10" name="DairyNZ logo (reverse)">
            <a:extLst>
              <a:ext uri="{FF2B5EF4-FFF2-40B4-BE49-F238E27FC236}">
                <a16:creationId xmlns:a16="http://schemas.microsoft.com/office/drawing/2014/main" id="{C7872EE2-66AF-49AA-973B-656D2C7F58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3</xdr:col>
      <xdr:colOff>1152525</xdr:colOff>
      <xdr:row>0</xdr:row>
      <xdr:rowOff>85725</xdr:rowOff>
    </xdr:from>
    <xdr:to>
      <xdr:col>3</xdr:col>
      <xdr:colOff>1653154</xdr:colOff>
      <xdr:row>0</xdr:row>
      <xdr:rowOff>605058</xdr:rowOff>
    </xdr:to>
    <xdr:pic>
      <xdr:nvPicPr>
        <xdr:cNvPr id="5" name="Picture 4">
          <a:extLst>
            <a:ext uri="{FF2B5EF4-FFF2-40B4-BE49-F238E27FC236}">
              <a16:creationId xmlns:a16="http://schemas.microsoft.com/office/drawing/2014/main" id="{CBDA9252-ABD0-4BA2-9ADD-F9C28CC51C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82050" y="85725"/>
          <a:ext cx="500629" cy="519333"/>
        </a:xfrm>
        <a:prstGeom prst="rect">
          <a:avLst/>
        </a:prstGeom>
      </xdr:spPr>
    </xdr:pic>
    <xdr:clientData/>
  </xdr:twoCellAnchor>
  <xdr:twoCellAnchor>
    <xdr:from>
      <xdr:col>0</xdr:col>
      <xdr:colOff>0</xdr:colOff>
      <xdr:row>33</xdr:row>
      <xdr:rowOff>47624</xdr:rowOff>
    </xdr:from>
    <xdr:to>
      <xdr:col>3</xdr:col>
      <xdr:colOff>1819275</xdr:colOff>
      <xdr:row>35</xdr:row>
      <xdr:rowOff>133349</xdr:rowOff>
    </xdr:to>
    <xdr:sp macro="" textlink="">
      <xdr:nvSpPr>
        <xdr:cNvPr id="7" name="TextBox 6">
          <a:extLst>
            <a:ext uri="{FF2B5EF4-FFF2-40B4-BE49-F238E27FC236}">
              <a16:creationId xmlns:a16="http://schemas.microsoft.com/office/drawing/2014/main" id="{9DDC252F-C299-4BCB-A8CB-B8586CFB85D6}"/>
            </a:ext>
          </a:extLst>
        </xdr:cNvPr>
        <xdr:cNvSpPr txBox="1"/>
      </xdr:nvSpPr>
      <xdr:spPr>
        <a:xfrm>
          <a:off x="0" y="13344524"/>
          <a:ext cx="94488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57150</xdr:colOff>
      <xdr:row>36</xdr:row>
      <xdr:rowOff>66674</xdr:rowOff>
    </xdr:from>
    <xdr:to>
      <xdr:col>1</xdr:col>
      <xdr:colOff>292100</xdr:colOff>
      <xdr:row>39</xdr:row>
      <xdr:rowOff>98424</xdr:rowOff>
    </xdr:to>
    <xdr:sp macro="" textlink="">
      <xdr:nvSpPr>
        <xdr:cNvPr id="11" name="TextBox 10">
          <a:extLst>
            <a:ext uri="{FF2B5EF4-FFF2-40B4-BE49-F238E27FC236}">
              <a16:creationId xmlns:a16="http://schemas.microsoft.com/office/drawing/2014/main" id="{5A98B757-0F8D-461F-90A5-CDA997E341D3}"/>
            </a:ext>
          </a:extLst>
        </xdr:cNvPr>
        <xdr:cNvSpPr txBox="1"/>
      </xdr:nvSpPr>
      <xdr:spPr>
        <a:xfrm>
          <a:off x="57150" y="13935074"/>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857250</xdr:colOff>
      <xdr:row>46</xdr:row>
      <xdr:rowOff>47625</xdr:rowOff>
    </xdr:from>
    <xdr:to>
      <xdr:col>2</xdr:col>
      <xdr:colOff>1758948</xdr:colOff>
      <xdr:row>50</xdr:row>
      <xdr:rowOff>0</xdr:rowOff>
    </xdr:to>
    <xdr:grpSp>
      <xdr:nvGrpSpPr>
        <xdr:cNvPr id="7" name="Group 6">
          <a:extLst>
            <a:ext uri="{FF2B5EF4-FFF2-40B4-BE49-F238E27FC236}">
              <a16:creationId xmlns:a16="http://schemas.microsoft.com/office/drawing/2014/main" id="{ABB53204-3EA0-4C81-980C-1BAB8FC82E9E}"/>
            </a:ext>
          </a:extLst>
        </xdr:cNvPr>
        <xdr:cNvGrpSpPr/>
      </xdr:nvGrpSpPr>
      <xdr:grpSpPr>
        <a:xfrm>
          <a:off x="6619875" y="12877800"/>
          <a:ext cx="2559048" cy="676275"/>
          <a:chOff x="4629150" y="9553575"/>
          <a:chExt cx="2914648" cy="707143"/>
        </a:xfrm>
      </xdr:grpSpPr>
      <xdr:pic>
        <xdr:nvPicPr>
          <xdr:cNvPr id="8" name="InCalf logo">
            <a:extLst>
              <a:ext uri="{FF2B5EF4-FFF2-40B4-BE49-F238E27FC236}">
                <a16:creationId xmlns:a16="http://schemas.microsoft.com/office/drawing/2014/main" id="{359D0695-B41B-4E78-AAAA-FAF8D62D6F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9" name="DairyNZ logo (reverse)">
            <a:extLst>
              <a:ext uri="{FF2B5EF4-FFF2-40B4-BE49-F238E27FC236}">
                <a16:creationId xmlns:a16="http://schemas.microsoft.com/office/drawing/2014/main" id="{76CFDC56-1C89-4F08-A805-751DEE06D4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2</xdr:col>
      <xdr:colOff>1343025</xdr:colOff>
      <xdr:row>0</xdr:row>
      <xdr:rowOff>95250</xdr:rowOff>
    </xdr:from>
    <xdr:to>
      <xdr:col>2</xdr:col>
      <xdr:colOff>1843654</xdr:colOff>
      <xdr:row>0</xdr:row>
      <xdr:rowOff>614583</xdr:rowOff>
    </xdr:to>
    <xdr:pic>
      <xdr:nvPicPr>
        <xdr:cNvPr id="5" name="Picture 4">
          <a:extLst>
            <a:ext uri="{FF2B5EF4-FFF2-40B4-BE49-F238E27FC236}">
              <a16:creationId xmlns:a16="http://schemas.microsoft.com/office/drawing/2014/main" id="{1E00D4AC-F161-4F81-9177-3645084ECF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63000" y="95250"/>
          <a:ext cx="500629" cy="519333"/>
        </a:xfrm>
        <a:prstGeom prst="rect">
          <a:avLst/>
        </a:prstGeom>
      </xdr:spPr>
    </xdr:pic>
    <xdr:clientData/>
  </xdr:twoCellAnchor>
  <xdr:twoCellAnchor>
    <xdr:from>
      <xdr:col>0</xdr:col>
      <xdr:colOff>57150</xdr:colOff>
      <xdr:row>41</xdr:row>
      <xdr:rowOff>38100</xdr:rowOff>
    </xdr:from>
    <xdr:to>
      <xdr:col>2</xdr:col>
      <xdr:colOff>1905000</xdr:colOff>
      <xdr:row>46</xdr:row>
      <xdr:rowOff>28575</xdr:rowOff>
    </xdr:to>
    <xdr:sp macro="" textlink="">
      <xdr:nvSpPr>
        <xdr:cNvPr id="10" name="TextBox 9">
          <a:extLst>
            <a:ext uri="{FF2B5EF4-FFF2-40B4-BE49-F238E27FC236}">
              <a16:creationId xmlns:a16="http://schemas.microsoft.com/office/drawing/2014/main" id="{6803F57A-A935-4811-AF67-3F845AA0648C}"/>
            </a:ext>
          </a:extLst>
        </xdr:cNvPr>
        <xdr:cNvSpPr txBox="1"/>
      </xdr:nvSpPr>
      <xdr:spPr>
        <a:xfrm>
          <a:off x="57150" y="12963525"/>
          <a:ext cx="92678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66675</xdr:colOff>
      <xdr:row>46</xdr:row>
      <xdr:rowOff>85725</xdr:rowOff>
    </xdr:from>
    <xdr:to>
      <xdr:col>0</xdr:col>
      <xdr:colOff>4273550</xdr:colOff>
      <xdr:row>49</xdr:row>
      <xdr:rowOff>117475</xdr:rowOff>
    </xdr:to>
    <xdr:sp macro="" textlink="">
      <xdr:nvSpPr>
        <xdr:cNvPr id="11" name="TextBox 10">
          <a:extLst>
            <a:ext uri="{FF2B5EF4-FFF2-40B4-BE49-F238E27FC236}">
              <a16:creationId xmlns:a16="http://schemas.microsoft.com/office/drawing/2014/main" id="{2851E30C-A6DD-4185-A24A-A6D06EC72A7D}"/>
            </a:ext>
          </a:extLst>
        </xdr:cNvPr>
        <xdr:cNvSpPr txBox="1"/>
      </xdr:nvSpPr>
      <xdr:spPr>
        <a:xfrm>
          <a:off x="66675" y="13725525"/>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28575</xdr:colOff>
      <xdr:row>45</xdr:row>
      <xdr:rowOff>133350</xdr:rowOff>
    </xdr:from>
    <xdr:to>
      <xdr:col>6</xdr:col>
      <xdr:colOff>1520823</xdr:colOff>
      <xdr:row>48</xdr:row>
      <xdr:rowOff>123825</xdr:rowOff>
    </xdr:to>
    <xdr:grpSp>
      <xdr:nvGrpSpPr>
        <xdr:cNvPr id="4" name="Group 3">
          <a:extLst>
            <a:ext uri="{FF2B5EF4-FFF2-40B4-BE49-F238E27FC236}">
              <a16:creationId xmlns:a16="http://schemas.microsoft.com/office/drawing/2014/main" id="{82C050FC-D28B-4E02-B450-4DD3953849C7}"/>
            </a:ext>
          </a:extLst>
        </xdr:cNvPr>
        <xdr:cNvGrpSpPr/>
      </xdr:nvGrpSpPr>
      <xdr:grpSpPr>
        <a:xfrm>
          <a:off x="6762750" y="8591550"/>
          <a:ext cx="2949573" cy="742950"/>
          <a:chOff x="4629150" y="9553575"/>
          <a:chExt cx="2914648" cy="707143"/>
        </a:xfrm>
      </xdr:grpSpPr>
      <xdr:pic>
        <xdr:nvPicPr>
          <xdr:cNvPr id="5" name="InCalf logo">
            <a:extLst>
              <a:ext uri="{FF2B5EF4-FFF2-40B4-BE49-F238E27FC236}">
                <a16:creationId xmlns:a16="http://schemas.microsoft.com/office/drawing/2014/main" id="{89144389-6960-40ED-AE4A-D15C0DB45A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6" name="DairyNZ logo (reverse)">
            <a:extLst>
              <a:ext uri="{FF2B5EF4-FFF2-40B4-BE49-F238E27FC236}">
                <a16:creationId xmlns:a16="http://schemas.microsoft.com/office/drawing/2014/main" id="{1F0C44C5-CB84-46C9-999C-F91611B657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6</xdr:col>
      <xdr:colOff>1009650</xdr:colOff>
      <xdr:row>0</xdr:row>
      <xdr:rowOff>95250</xdr:rowOff>
    </xdr:from>
    <xdr:to>
      <xdr:col>6</xdr:col>
      <xdr:colOff>1510279</xdr:colOff>
      <xdr:row>0</xdr:row>
      <xdr:rowOff>614583</xdr:rowOff>
    </xdr:to>
    <xdr:pic>
      <xdr:nvPicPr>
        <xdr:cNvPr id="7" name="Picture 6">
          <a:extLst>
            <a:ext uri="{FF2B5EF4-FFF2-40B4-BE49-F238E27FC236}">
              <a16:creationId xmlns:a16="http://schemas.microsoft.com/office/drawing/2014/main" id="{70CBE5C9-F197-40EE-8E46-CF30FD86E8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01150" y="95250"/>
          <a:ext cx="500629" cy="519333"/>
        </a:xfrm>
        <a:prstGeom prst="rect">
          <a:avLst/>
        </a:prstGeom>
      </xdr:spPr>
    </xdr:pic>
    <xdr:clientData/>
  </xdr:twoCellAnchor>
  <xdr:twoCellAnchor>
    <xdr:from>
      <xdr:col>0</xdr:col>
      <xdr:colOff>76200</xdr:colOff>
      <xdr:row>43</xdr:row>
      <xdr:rowOff>0</xdr:rowOff>
    </xdr:from>
    <xdr:to>
      <xdr:col>6</xdr:col>
      <xdr:colOff>1581150</xdr:colOff>
      <xdr:row>45</xdr:row>
      <xdr:rowOff>66675</xdr:rowOff>
    </xdr:to>
    <xdr:sp macro="" textlink="">
      <xdr:nvSpPr>
        <xdr:cNvPr id="9" name="TextBox 8">
          <a:extLst>
            <a:ext uri="{FF2B5EF4-FFF2-40B4-BE49-F238E27FC236}">
              <a16:creationId xmlns:a16="http://schemas.microsoft.com/office/drawing/2014/main" id="{B1FEA058-1936-4F2B-A9FA-F9B3228EC60E}"/>
            </a:ext>
          </a:extLst>
        </xdr:cNvPr>
        <xdr:cNvSpPr txBox="1"/>
      </xdr:nvSpPr>
      <xdr:spPr>
        <a:xfrm>
          <a:off x="76200" y="13868400"/>
          <a:ext cx="96964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95250</xdr:colOff>
      <xdr:row>45</xdr:row>
      <xdr:rowOff>104775</xdr:rowOff>
    </xdr:from>
    <xdr:to>
      <xdr:col>0</xdr:col>
      <xdr:colOff>4302125</xdr:colOff>
      <xdr:row>48</xdr:row>
      <xdr:rowOff>136525</xdr:rowOff>
    </xdr:to>
    <xdr:sp macro="" textlink="">
      <xdr:nvSpPr>
        <xdr:cNvPr id="10" name="TextBox 9">
          <a:extLst>
            <a:ext uri="{FF2B5EF4-FFF2-40B4-BE49-F238E27FC236}">
              <a16:creationId xmlns:a16="http://schemas.microsoft.com/office/drawing/2014/main" id="{20423D94-BC78-4172-ABA1-B5C0B0FFFAA4}"/>
            </a:ext>
          </a:extLst>
        </xdr:cNvPr>
        <xdr:cNvSpPr txBox="1"/>
      </xdr:nvSpPr>
      <xdr:spPr>
        <a:xfrm>
          <a:off x="95250" y="14611350"/>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209550</xdr:colOff>
      <xdr:row>53</xdr:row>
      <xdr:rowOff>47625</xdr:rowOff>
    </xdr:from>
    <xdr:to>
      <xdr:col>2</xdr:col>
      <xdr:colOff>2835273</xdr:colOff>
      <xdr:row>57</xdr:row>
      <xdr:rowOff>0</xdr:rowOff>
    </xdr:to>
    <xdr:grpSp>
      <xdr:nvGrpSpPr>
        <xdr:cNvPr id="7" name="Group 6">
          <a:extLst>
            <a:ext uri="{FF2B5EF4-FFF2-40B4-BE49-F238E27FC236}">
              <a16:creationId xmlns:a16="http://schemas.microsoft.com/office/drawing/2014/main" id="{19D611C4-CC68-4A84-9D1A-C26EF276D0E5}"/>
            </a:ext>
          </a:extLst>
        </xdr:cNvPr>
        <xdr:cNvGrpSpPr/>
      </xdr:nvGrpSpPr>
      <xdr:grpSpPr>
        <a:xfrm>
          <a:off x="7305675" y="15078075"/>
          <a:ext cx="2625723" cy="676275"/>
          <a:chOff x="4629150" y="9553575"/>
          <a:chExt cx="2914648" cy="707143"/>
        </a:xfrm>
      </xdr:grpSpPr>
      <xdr:pic>
        <xdr:nvPicPr>
          <xdr:cNvPr id="8" name="InCalf logo">
            <a:extLst>
              <a:ext uri="{FF2B5EF4-FFF2-40B4-BE49-F238E27FC236}">
                <a16:creationId xmlns:a16="http://schemas.microsoft.com/office/drawing/2014/main" id="{BEDC04C2-A264-4999-91B1-32A3016D5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9" name="DairyNZ logo (reverse)">
            <a:extLst>
              <a:ext uri="{FF2B5EF4-FFF2-40B4-BE49-F238E27FC236}">
                <a16:creationId xmlns:a16="http://schemas.microsoft.com/office/drawing/2014/main" id="{B99224C4-B3D6-4324-9F02-F4DB64D1DA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2</xdr:col>
      <xdr:colOff>2447925</xdr:colOff>
      <xdr:row>0</xdr:row>
      <xdr:rowOff>104775</xdr:rowOff>
    </xdr:from>
    <xdr:to>
      <xdr:col>2</xdr:col>
      <xdr:colOff>2948554</xdr:colOff>
      <xdr:row>0</xdr:row>
      <xdr:rowOff>624108</xdr:rowOff>
    </xdr:to>
    <xdr:pic>
      <xdr:nvPicPr>
        <xdr:cNvPr id="10" name="Picture 9">
          <a:extLst>
            <a:ext uri="{FF2B5EF4-FFF2-40B4-BE49-F238E27FC236}">
              <a16:creationId xmlns:a16="http://schemas.microsoft.com/office/drawing/2014/main" id="{FEE238A4-46B2-4323-9E02-526D659F8E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44050" y="104775"/>
          <a:ext cx="500629" cy="519333"/>
        </a:xfrm>
        <a:prstGeom prst="rect">
          <a:avLst/>
        </a:prstGeom>
      </xdr:spPr>
    </xdr:pic>
    <xdr:clientData/>
  </xdr:twoCellAnchor>
  <xdr:twoCellAnchor>
    <xdr:from>
      <xdr:col>0</xdr:col>
      <xdr:colOff>0</xdr:colOff>
      <xdr:row>49</xdr:row>
      <xdr:rowOff>361950</xdr:rowOff>
    </xdr:from>
    <xdr:to>
      <xdr:col>2</xdr:col>
      <xdr:colOff>3038475</xdr:colOff>
      <xdr:row>53</xdr:row>
      <xdr:rowOff>133350</xdr:rowOff>
    </xdr:to>
    <xdr:sp macro="" textlink="">
      <xdr:nvSpPr>
        <xdr:cNvPr id="12" name="TextBox 11">
          <a:extLst>
            <a:ext uri="{FF2B5EF4-FFF2-40B4-BE49-F238E27FC236}">
              <a16:creationId xmlns:a16="http://schemas.microsoft.com/office/drawing/2014/main" id="{2DAAF69A-F129-490F-8E79-2D4FFB049FED}"/>
            </a:ext>
          </a:extLst>
        </xdr:cNvPr>
        <xdr:cNvSpPr txBox="1"/>
      </xdr:nvSpPr>
      <xdr:spPr>
        <a:xfrm>
          <a:off x="0" y="14458950"/>
          <a:ext cx="101346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38100</xdr:colOff>
      <xdr:row>53</xdr:row>
      <xdr:rowOff>57150</xdr:rowOff>
    </xdr:from>
    <xdr:to>
      <xdr:col>0</xdr:col>
      <xdr:colOff>4244975</xdr:colOff>
      <xdr:row>56</xdr:row>
      <xdr:rowOff>88900</xdr:rowOff>
    </xdr:to>
    <xdr:sp macro="" textlink="">
      <xdr:nvSpPr>
        <xdr:cNvPr id="13" name="TextBox 12">
          <a:extLst>
            <a:ext uri="{FF2B5EF4-FFF2-40B4-BE49-F238E27FC236}">
              <a16:creationId xmlns:a16="http://schemas.microsoft.com/office/drawing/2014/main" id="{2310C34F-2483-4721-B4E9-C979E60A4A56}"/>
            </a:ext>
          </a:extLst>
        </xdr:cNvPr>
        <xdr:cNvSpPr txBox="1"/>
      </xdr:nvSpPr>
      <xdr:spPr>
        <a:xfrm>
          <a:off x="38100" y="15087600"/>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1076326</xdr:colOff>
      <xdr:row>47</xdr:row>
      <xdr:rowOff>47625</xdr:rowOff>
    </xdr:from>
    <xdr:to>
      <xdr:col>4</xdr:col>
      <xdr:colOff>1120774</xdr:colOff>
      <xdr:row>51</xdr:row>
      <xdr:rowOff>0</xdr:rowOff>
    </xdr:to>
    <xdr:grpSp>
      <xdr:nvGrpSpPr>
        <xdr:cNvPr id="4" name="Group 3">
          <a:extLst>
            <a:ext uri="{FF2B5EF4-FFF2-40B4-BE49-F238E27FC236}">
              <a16:creationId xmlns:a16="http://schemas.microsoft.com/office/drawing/2014/main" id="{88914D74-447B-470E-8B1E-62CB6715F916}"/>
            </a:ext>
          </a:extLst>
        </xdr:cNvPr>
        <xdr:cNvGrpSpPr/>
      </xdr:nvGrpSpPr>
      <xdr:grpSpPr>
        <a:xfrm>
          <a:off x="6496051" y="11639550"/>
          <a:ext cx="2711448" cy="676275"/>
          <a:chOff x="4629150" y="9553575"/>
          <a:chExt cx="2914648" cy="707143"/>
        </a:xfrm>
      </xdr:grpSpPr>
      <xdr:pic>
        <xdr:nvPicPr>
          <xdr:cNvPr id="5" name="InCalf logo">
            <a:extLst>
              <a:ext uri="{FF2B5EF4-FFF2-40B4-BE49-F238E27FC236}">
                <a16:creationId xmlns:a16="http://schemas.microsoft.com/office/drawing/2014/main" id="{1D22EBAC-8FCE-4563-8C25-7FECCEC1C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9553575"/>
            <a:ext cx="707143" cy="707143"/>
          </a:xfrm>
          <a:prstGeom prst="rect">
            <a:avLst/>
          </a:prstGeom>
        </xdr:spPr>
      </xdr:pic>
      <xdr:pic>
        <xdr:nvPicPr>
          <xdr:cNvPr id="6" name="DairyNZ logo (reverse)">
            <a:extLst>
              <a:ext uri="{FF2B5EF4-FFF2-40B4-BE49-F238E27FC236}">
                <a16:creationId xmlns:a16="http://schemas.microsoft.com/office/drawing/2014/main" id="{84F1D7FC-685E-415E-A4B0-5B7C52366C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05475" y="9610725"/>
            <a:ext cx="1838323" cy="542925"/>
          </a:xfrm>
          <a:prstGeom prst="rect">
            <a:avLst/>
          </a:prstGeom>
        </xdr:spPr>
      </xdr:pic>
    </xdr:grpSp>
    <xdr:clientData/>
  </xdr:twoCellAnchor>
  <xdr:twoCellAnchor editAs="oneCell">
    <xdr:from>
      <xdr:col>4</xdr:col>
      <xdr:colOff>657225</xdr:colOff>
      <xdr:row>0</xdr:row>
      <xdr:rowOff>104775</xdr:rowOff>
    </xdr:from>
    <xdr:to>
      <xdr:col>4</xdr:col>
      <xdr:colOff>1157854</xdr:colOff>
      <xdr:row>0</xdr:row>
      <xdr:rowOff>624108</xdr:rowOff>
    </xdr:to>
    <xdr:pic>
      <xdr:nvPicPr>
        <xdr:cNvPr id="7" name="Picture 6">
          <a:extLst>
            <a:ext uri="{FF2B5EF4-FFF2-40B4-BE49-F238E27FC236}">
              <a16:creationId xmlns:a16="http://schemas.microsoft.com/office/drawing/2014/main" id="{B5F11F2C-E77D-4B26-BD82-498A90DD0D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43950" y="104775"/>
          <a:ext cx="500629" cy="519333"/>
        </a:xfrm>
        <a:prstGeom prst="rect">
          <a:avLst/>
        </a:prstGeom>
      </xdr:spPr>
    </xdr:pic>
    <xdr:clientData/>
  </xdr:twoCellAnchor>
  <xdr:twoCellAnchor>
    <xdr:from>
      <xdr:col>0</xdr:col>
      <xdr:colOff>19051</xdr:colOff>
      <xdr:row>44</xdr:row>
      <xdr:rowOff>47625</xdr:rowOff>
    </xdr:from>
    <xdr:to>
      <xdr:col>4</xdr:col>
      <xdr:colOff>1323976</xdr:colOff>
      <xdr:row>47</xdr:row>
      <xdr:rowOff>9525</xdr:rowOff>
    </xdr:to>
    <xdr:sp macro="" textlink="">
      <xdr:nvSpPr>
        <xdr:cNvPr id="9" name="TextBox 8">
          <a:extLst>
            <a:ext uri="{FF2B5EF4-FFF2-40B4-BE49-F238E27FC236}">
              <a16:creationId xmlns:a16="http://schemas.microsoft.com/office/drawing/2014/main" id="{39EF465F-92B0-4BD7-888E-F439EDBEDF7F}"/>
            </a:ext>
          </a:extLst>
        </xdr:cNvPr>
        <xdr:cNvSpPr txBox="1"/>
      </xdr:nvSpPr>
      <xdr:spPr>
        <a:xfrm>
          <a:off x="19051" y="12877800"/>
          <a:ext cx="93916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800" b="0" i="1" u="none" strike="noStrike">
              <a:solidFill>
                <a:sysClr val="windowText" lastClr="000000"/>
              </a:solidFill>
              <a:effectLst/>
              <a:latin typeface="+mn-lt"/>
              <a:ea typeface="+mn-ea"/>
              <a:cs typeface="+mn-cs"/>
            </a:rPr>
            <a:t>Disclaimer: DairyNZ ("DairyNZ, "we", "our")</a:t>
          </a:r>
          <a:r>
            <a:rPr lang="en-NZ" sz="800" b="0" i="1" u="none" strike="noStrike" baseline="0">
              <a:solidFill>
                <a:sysClr val="windowText" lastClr="000000"/>
              </a:solidFill>
              <a:effectLst/>
              <a:latin typeface="+mn-lt"/>
              <a:ea typeface="+mn-ea"/>
              <a:cs typeface="+mn-cs"/>
            </a:rPr>
            <a:t> endeavours to ensure that the information in this publication is accurate and current. However, we do not accept liability for any error or omission. The information that appears in this publication is intended to provide the best possible farm management practises, systems and advice that DairyNZ has access to. It may however, be subject to change at any time without notice. DairyNZ takes no responsibility whatsoever for the currency and/or accuracy of this information, its completeness or fitness for purpose.</a:t>
          </a:r>
          <a:endParaRPr lang="en-NZ" sz="800" i="1">
            <a:solidFill>
              <a:sysClr val="windowText" lastClr="000000"/>
            </a:solidFill>
          </a:endParaRPr>
        </a:p>
      </xdr:txBody>
    </xdr:sp>
    <xdr:clientData/>
  </xdr:twoCellAnchor>
  <xdr:twoCellAnchor>
    <xdr:from>
      <xdr:col>0</xdr:col>
      <xdr:colOff>57150</xdr:colOff>
      <xdr:row>47</xdr:row>
      <xdr:rowOff>85725</xdr:rowOff>
    </xdr:from>
    <xdr:to>
      <xdr:col>1</xdr:col>
      <xdr:colOff>177800</xdr:colOff>
      <xdr:row>50</xdr:row>
      <xdr:rowOff>117475</xdr:rowOff>
    </xdr:to>
    <xdr:sp macro="" textlink="">
      <xdr:nvSpPr>
        <xdr:cNvPr id="10" name="TextBox 9">
          <a:extLst>
            <a:ext uri="{FF2B5EF4-FFF2-40B4-BE49-F238E27FC236}">
              <a16:creationId xmlns:a16="http://schemas.microsoft.com/office/drawing/2014/main" id="{A7A8D520-3233-4A4C-88E7-E99F6DDD768B}"/>
            </a:ext>
          </a:extLst>
        </xdr:cNvPr>
        <xdr:cNvSpPr txBox="1"/>
      </xdr:nvSpPr>
      <xdr:spPr>
        <a:xfrm>
          <a:off x="57150" y="13658850"/>
          <a:ext cx="42068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NZ" sz="900" b="0" i="0" u="none" strike="noStrike">
              <a:solidFill>
                <a:schemeClr val="bg1"/>
              </a:solidFill>
              <a:effectLst/>
              <a:latin typeface="+mn-lt"/>
              <a:ea typeface="+mn-ea"/>
              <a:cs typeface="+mn-cs"/>
            </a:rPr>
            <a:t>This work has been funded by the NZ dairy industry through the DairyNZ levy.</a:t>
          </a:r>
          <a:r>
            <a:rPr lang="en-NZ" sz="900">
              <a:solidFill>
                <a:schemeClr val="bg1"/>
              </a:solidFill>
            </a:rPr>
            <a:t> </a:t>
          </a:r>
        </a:p>
        <a:p>
          <a:endParaRPr lang="en-NZ" sz="200" b="0" i="0" u="none" strike="noStrike">
            <a:solidFill>
              <a:schemeClr val="bg1"/>
            </a:solidFill>
            <a:effectLst/>
            <a:latin typeface="+mn-lt"/>
            <a:ea typeface="+mn-ea"/>
            <a:cs typeface="+mn-cs"/>
          </a:endParaRPr>
        </a:p>
        <a:p>
          <a:r>
            <a:rPr lang="en-NZ" sz="900" b="0" i="0" u="none" strike="noStrike">
              <a:solidFill>
                <a:schemeClr val="bg1"/>
              </a:solidFill>
              <a:effectLst/>
              <a:latin typeface="+mn-lt"/>
              <a:ea typeface="+mn-ea"/>
              <a:cs typeface="+mn-cs"/>
            </a:rPr>
            <a:t>InCalf has been adapted for NZ farming systems from the original programme developed by Dairy Australia.</a:t>
          </a:r>
          <a:r>
            <a:rPr lang="en-NZ" sz="900">
              <a:solidFill>
                <a:schemeClr val="bg1"/>
              </a:solidFill>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G11" totalsRowShown="0" headerRowDxfId="7" dataDxfId="6">
  <tableColumns count="6">
    <tableColumn id="1" xr3:uid="{00000000-0010-0000-0000-000001000000}" name="Column1" dataDxfId="5"/>
    <tableColumn id="2" xr3:uid="{00000000-0010-0000-0000-000002000000}" name="6-Week In-Calf Rate Gap" dataDxfId="4"/>
    <tableColumn id="3" xr3:uid="{00000000-0010-0000-0000-000003000000}" name="6-Week In-Calf Rate Gap($)" dataDxfId="3" dataCellStyle="Currency"/>
    <tableColumn id="4" xr3:uid="{00000000-0010-0000-0000-000004000000}" name="Not-In-Calf Rate Gap" dataDxfId="2"/>
    <tableColumn id="5" xr3:uid="{00000000-0010-0000-0000-000005000000}" name="Not-In-Calf Rate Gap($)" dataDxfId="1" dataCellStyle="Currency"/>
    <tableColumn id="6" xr3:uid="{00000000-0010-0000-0000-000006000000}" name="Total InCalf Economic Gap"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Facts &amp; Figures">
      <a:dk1>
        <a:sysClr val="windowText" lastClr="000000"/>
      </a:dk1>
      <a:lt1>
        <a:sysClr val="window" lastClr="FFFFFF"/>
      </a:lt1>
      <a:dk2>
        <a:srgbClr val="444D3E"/>
      </a:dk2>
      <a:lt2>
        <a:srgbClr val="E36F1E"/>
      </a:lt2>
      <a:accent1>
        <a:srgbClr val="D7AD08"/>
      </a:accent1>
      <a:accent2>
        <a:srgbClr val="A8B400"/>
      </a:accent2>
      <a:accent3>
        <a:srgbClr val="7AC143"/>
      </a:accent3>
      <a:accent4>
        <a:srgbClr val="589199"/>
      </a:accent4>
      <a:accent5>
        <a:srgbClr val="3D579A"/>
      </a:accent5>
      <a:accent6>
        <a:srgbClr val="8E5BA6"/>
      </a:accent6>
      <a:hlink>
        <a:srgbClr val="0070C0"/>
      </a:hlink>
      <a:folHlink>
        <a:srgbClr val="00B0F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airynz.co.nz/animal/reproduction-and-mating/incalf-programm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
  <sheetViews>
    <sheetView zoomScale="120" zoomScaleNormal="120" zoomScalePageLayoutView="70" workbookViewId="0">
      <selection activeCell="L25" sqref="L25"/>
    </sheetView>
  </sheetViews>
  <sheetFormatPr defaultColWidth="0" defaultRowHeight="14.25" zeroHeight="1" x14ac:dyDescent="0.2"/>
  <cols>
    <col min="1" max="10" width="9" customWidth="1"/>
    <col min="11" max="11" width="11.25" customWidth="1"/>
    <col min="12" max="13" width="9" customWidth="1"/>
    <col min="14" max="16384" width="9" hidden="1"/>
  </cols>
  <sheetData>
    <row r="1" spans="1:13" ht="60" customHeight="1" x14ac:dyDescent="0.2">
      <c r="A1" s="39" t="s">
        <v>0</v>
      </c>
      <c r="B1" s="30"/>
      <c r="C1" s="30"/>
      <c r="D1" s="30"/>
      <c r="E1" s="30"/>
      <c r="F1" s="30"/>
      <c r="G1" s="30"/>
      <c r="H1" s="30"/>
      <c r="I1" s="30"/>
      <c r="J1" s="30"/>
      <c r="K1" s="30"/>
      <c r="L1" s="30"/>
      <c r="M1" s="30"/>
    </row>
    <row r="2" spans="1:13" ht="14.25" customHeight="1" x14ac:dyDescent="0.35">
      <c r="A2" s="35"/>
      <c r="B2" s="35"/>
      <c r="C2" s="35"/>
      <c r="D2" s="35"/>
      <c r="E2" s="35"/>
      <c r="F2" s="35"/>
      <c r="G2" s="35"/>
      <c r="H2" s="35"/>
      <c r="I2" s="35"/>
      <c r="J2" s="35"/>
      <c r="K2" s="35"/>
      <c r="L2" s="31"/>
      <c r="M2" s="31"/>
    </row>
    <row r="3" spans="1:13" x14ac:dyDescent="0.2">
      <c r="A3" s="32" t="s">
        <v>1</v>
      </c>
      <c r="B3" s="31"/>
      <c r="C3" s="31"/>
      <c r="D3" s="31"/>
      <c r="E3" s="31"/>
      <c r="F3" s="31"/>
      <c r="G3" s="31"/>
      <c r="H3" s="31"/>
      <c r="I3" s="31"/>
      <c r="J3" s="31"/>
      <c r="K3" s="31"/>
      <c r="L3" s="31"/>
      <c r="M3" s="31"/>
    </row>
    <row r="4" spans="1:13" x14ac:dyDescent="0.2">
      <c r="A4" s="32"/>
      <c r="B4" s="31"/>
      <c r="C4" s="31"/>
      <c r="D4" s="31"/>
      <c r="E4" s="31"/>
      <c r="F4" s="31"/>
      <c r="G4" s="31"/>
      <c r="H4" s="31"/>
      <c r="I4" s="31"/>
      <c r="J4" s="31"/>
      <c r="K4" s="31"/>
      <c r="L4" s="31"/>
      <c r="M4" s="31"/>
    </row>
    <row r="5" spans="1:13" x14ac:dyDescent="0.2">
      <c r="A5" s="31"/>
      <c r="B5" s="31"/>
      <c r="C5" s="31"/>
      <c r="D5" s="31"/>
      <c r="E5" s="31"/>
      <c r="F5" s="31"/>
      <c r="G5" s="31"/>
      <c r="H5" s="31"/>
      <c r="I5" s="31"/>
      <c r="J5" s="31"/>
      <c r="K5" s="31"/>
      <c r="L5" s="31"/>
      <c r="M5" s="31"/>
    </row>
    <row r="6" spans="1:13" x14ac:dyDescent="0.2">
      <c r="A6" s="31"/>
      <c r="B6" s="31"/>
      <c r="C6" s="31"/>
      <c r="D6" s="31"/>
      <c r="E6" s="31"/>
      <c r="F6" s="31"/>
      <c r="G6" s="31"/>
      <c r="H6" s="31"/>
      <c r="I6" s="31"/>
      <c r="J6" s="31"/>
      <c r="K6" s="31"/>
      <c r="L6" s="31"/>
      <c r="M6" s="31"/>
    </row>
    <row r="7" spans="1:13" x14ac:dyDescent="0.2">
      <c r="A7" s="31"/>
      <c r="B7" s="31"/>
      <c r="C7" s="31"/>
      <c r="D7" s="31"/>
      <c r="E7" s="31"/>
      <c r="F7" s="31"/>
      <c r="G7" s="31"/>
      <c r="H7" s="31"/>
      <c r="I7" s="31"/>
      <c r="J7" s="31"/>
      <c r="K7" s="31"/>
      <c r="L7" s="31"/>
      <c r="M7" s="31"/>
    </row>
    <row r="8" spans="1:13" x14ac:dyDescent="0.2">
      <c r="A8" s="31"/>
      <c r="B8" s="31"/>
      <c r="C8" s="31"/>
      <c r="D8" s="31"/>
      <c r="E8" s="31"/>
      <c r="F8" s="31"/>
      <c r="G8" s="31"/>
      <c r="H8" s="31"/>
      <c r="I8" s="31"/>
      <c r="J8" s="31"/>
      <c r="K8" s="31"/>
      <c r="L8" s="31"/>
      <c r="M8" s="31"/>
    </row>
    <row r="9" spans="1:13" x14ac:dyDescent="0.2">
      <c r="A9" s="31"/>
      <c r="B9" s="31"/>
      <c r="C9" s="31"/>
      <c r="D9" s="31"/>
      <c r="E9" s="31"/>
      <c r="F9" s="31"/>
      <c r="G9" s="31"/>
      <c r="H9" s="31"/>
      <c r="I9" s="31"/>
      <c r="J9" s="31"/>
      <c r="K9" s="31"/>
      <c r="L9" s="31"/>
      <c r="M9" s="31"/>
    </row>
    <row r="10" spans="1:13" x14ac:dyDescent="0.2">
      <c r="A10" s="31"/>
      <c r="B10" s="31"/>
      <c r="C10" s="31"/>
      <c r="D10" s="31"/>
      <c r="E10" s="31"/>
      <c r="F10" s="31"/>
      <c r="G10" s="31"/>
      <c r="H10" s="31"/>
      <c r="I10" s="31"/>
      <c r="J10" s="31"/>
      <c r="K10" s="31"/>
      <c r="L10" s="31"/>
      <c r="M10" s="31"/>
    </row>
    <row r="11" spans="1:13" x14ac:dyDescent="0.2">
      <c r="A11" s="31"/>
      <c r="B11" s="31"/>
      <c r="C11" s="31"/>
      <c r="D11" s="31"/>
      <c r="E11" s="31"/>
      <c r="F11" s="31"/>
      <c r="G11" s="31"/>
      <c r="H11" s="31"/>
      <c r="I11" s="31"/>
      <c r="J11" s="31"/>
      <c r="K11" s="31"/>
      <c r="L11" s="31"/>
      <c r="M11" s="31"/>
    </row>
    <row r="12" spans="1:13" x14ac:dyDescent="0.2">
      <c r="A12" s="31"/>
      <c r="B12" s="31"/>
      <c r="C12" s="31"/>
      <c r="D12" s="31"/>
      <c r="E12" s="31"/>
      <c r="F12" s="31"/>
      <c r="G12" s="31"/>
      <c r="H12" s="31"/>
      <c r="I12" s="31"/>
      <c r="J12" s="31"/>
      <c r="K12" s="31"/>
      <c r="L12" s="31"/>
      <c r="M12" s="31"/>
    </row>
    <row r="13" spans="1:13" x14ac:dyDescent="0.2">
      <c r="A13" s="31"/>
      <c r="B13" s="31"/>
      <c r="C13" s="31"/>
      <c r="D13" s="31"/>
      <c r="E13" s="31"/>
      <c r="F13" s="31"/>
      <c r="G13" s="31"/>
      <c r="H13" s="31"/>
      <c r="I13" s="31"/>
      <c r="J13" s="31"/>
      <c r="K13" s="31"/>
      <c r="L13" s="31"/>
      <c r="M13" s="31"/>
    </row>
    <row r="14" spans="1:13" x14ac:dyDescent="0.2">
      <c r="A14" s="31"/>
      <c r="B14" s="31"/>
      <c r="C14" s="31"/>
      <c r="D14" s="31"/>
      <c r="E14" s="31"/>
      <c r="F14" s="31"/>
      <c r="G14" s="31"/>
      <c r="H14" s="31"/>
      <c r="I14" s="31"/>
      <c r="J14" s="31"/>
      <c r="K14" s="31"/>
      <c r="L14" s="31"/>
      <c r="M14" s="31"/>
    </row>
    <row r="15" spans="1:13" x14ac:dyDescent="0.2">
      <c r="A15" s="31"/>
      <c r="B15" s="31"/>
      <c r="C15" s="31"/>
      <c r="D15" s="31"/>
      <c r="E15" s="31"/>
      <c r="F15" s="31"/>
      <c r="G15" s="31"/>
      <c r="H15" s="31"/>
      <c r="I15" s="31"/>
      <c r="J15" s="31"/>
      <c r="K15" s="31"/>
      <c r="L15" s="31"/>
      <c r="M15" s="31"/>
    </row>
    <row r="16" spans="1:13" x14ac:dyDescent="0.2">
      <c r="A16" s="31"/>
      <c r="B16" s="31"/>
      <c r="C16" s="31"/>
      <c r="D16" s="31"/>
      <c r="E16" s="31"/>
      <c r="F16" s="31"/>
      <c r="G16" s="31"/>
      <c r="H16" s="31"/>
      <c r="I16" s="31"/>
      <c r="J16" s="31"/>
      <c r="K16" s="31"/>
      <c r="L16" s="31"/>
      <c r="M16" s="31"/>
    </row>
    <row r="17" spans="1:13" x14ac:dyDescent="0.2">
      <c r="A17" s="31"/>
      <c r="B17" s="31"/>
      <c r="C17" s="31"/>
      <c r="D17" s="31"/>
      <c r="E17" s="31"/>
      <c r="F17" s="31"/>
      <c r="G17" s="31"/>
      <c r="H17" s="31"/>
      <c r="I17" s="31"/>
      <c r="J17" s="31"/>
      <c r="K17" s="31"/>
      <c r="L17" s="31"/>
      <c r="M17" s="31"/>
    </row>
    <row r="18" spans="1:13" x14ac:dyDescent="0.2">
      <c r="A18" s="31"/>
      <c r="B18" s="31"/>
      <c r="C18" s="31"/>
      <c r="D18" s="31"/>
      <c r="E18" s="31"/>
      <c r="F18" s="31"/>
      <c r="G18" s="31"/>
      <c r="H18" s="31"/>
      <c r="I18" s="31"/>
      <c r="J18" s="31"/>
      <c r="K18" s="31"/>
      <c r="L18" s="31"/>
      <c r="M18" s="31"/>
    </row>
    <row r="19" spans="1:13" x14ac:dyDescent="0.2">
      <c r="A19" s="31"/>
      <c r="B19" s="31"/>
      <c r="C19" s="31"/>
      <c r="D19" s="31"/>
      <c r="E19" s="31"/>
      <c r="F19" s="31"/>
      <c r="G19" s="31"/>
      <c r="H19" s="31"/>
      <c r="I19" s="31"/>
      <c r="J19" s="31"/>
      <c r="K19" s="31"/>
      <c r="L19" s="31"/>
      <c r="M19" s="31"/>
    </row>
    <row r="20" spans="1:13" x14ac:dyDescent="0.2">
      <c r="A20" s="31"/>
      <c r="B20" s="31"/>
      <c r="C20" s="31"/>
      <c r="D20" s="31"/>
      <c r="E20" s="31"/>
      <c r="F20" s="31"/>
      <c r="G20" s="31"/>
      <c r="H20" s="31"/>
      <c r="I20" s="31"/>
      <c r="J20" s="31"/>
      <c r="K20" s="31"/>
      <c r="L20" s="31"/>
      <c r="M20" s="31"/>
    </row>
    <row r="21" spans="1:13" x14ac:dyDescent="0.2">
      <c r="A21" s="31"/>
      <c r="B21" s="31"/>
      <c r="C21" s="31"/>
      <c r="D21" s="31"/>
      <c r="E21" s="31"/>
      <c r="F21" s="31"/>
      <c r="G21" s="31"/>
      <c r="H21" s="31"/>
      <c r="I21" s="31"/>
      <c r="J21" s="31"/>
      <c r="K21" s="31"/>
      <c r="L21" s="31"/>
      <c r="M21" s="31"/>
    </row>
    <row r="22" spans="1:13" x14ac:dyDescent="0.2">
      <c r="A22" s="31"/>
      <c r="B22" s="31"/>
      <c r="C22" s="31"/>
      <c r="D22" s="31"/>
      <c r="E22" s="31"/>
      <c r="F22" s="31"/>
      <c r="G22" s="31"/>
      <c r="H22" s="31"/>
      <c r="I22" s="31"/>
      <c r="J22" s="31"/>
      <c r="K22" s="31"/>
      <c r="L22" s="31"/>
      <c r="M22" s="31"/>
    </row>
    <row r="23" spans="1:13" x14ac:dyDescent="0.2">
      <c r="A23" s="31"/>
      <c r="B23" s="31"/>
      <c r="C23" s="31"/>
      <c r="D23" s="31"/>
      <c r="E23" s="31"/>
      <c r="F23" s="31"/>
      <c r="G23" s="31"/>
      <c r="H23" s="31"/>
      <c r="I23" s="31"/>
      <c r="J23" s="31"/>
      <c r="K23" s="31"/>
      <c r="L23" s="31"/>
      <c r="M23" s="31"/>
    </row>
    <row r="24" spans="1:13" x14ac:dyDescent="0.2">
      <c r="A24" s="31"/>
      <c r="B24" s="31"/>
      <c r="C24" s="31"/>
      <c r="D24" s="31"/>
      <c r="E24" s="31"/>
      <c r="F24" s="31"/>
      <c r="G24" s="31"/>
      <c r="H24" s="31"/>
      <c r="I24" s="31"/>
      <c r="J24" s="31"/>
      <c r="K24" s="31"/>
      <c r="L24" s="31"/>
      <c r="M24" s="31"/>
    </row>
    <row r="25" spans="1:13" x14ac:dyDescent="0.2">
      <c r="A25" s="31"/>
      <c r="B25" s="31"/>
      <c r="C25" s="31"/>
      <c r="D25" s="31"/>
      <c r="E25" s="31"/>
      <c r="F25" s="31"/>
      <c r="G25" s="31"/>
      <c r="H25" s="31"/>
      <c r="I25" s="31"/>
      <c r="J25" s="31"/>
      <c r="K25" s="31"/>
      <c r="L25" s="31"/>
      <c r="M25" s="31"/>
    </row>
    <row r="26" spans="1:13" x14ac:dyDescent="0.2">
      <c r="A26" s="31"/>
      <c r="B26" s="31"/>
      <c r="C26" s="31"/>
      <c r="D26" s="31"/>
      <c r="E26" s="31"/>
      <c r="F26" s="31"/>
      <c r="G26" s="31"/>
      <c r="H26" s="31"/>
      <c r="I26" s="31"/>
      <c r="J26" s="31"/>
      <c r="K26" s="31"/>
      <c r="L26" s="31"/>
      <c r="M26" s="31"/>
    </row>
    <row r="27" spans="1:13" x14ac:dyDescent="0.2">
      <c r="A27" s="31"/>
      <c r="B27" s="31"/>
      <c r="C27" s="31"/>
      <c r="D27" s="31"/>
      <c r="E27" s="31"/>
      <c r="F27" s="31"/>
      <c r="G27" s="31"/>
      <c r="H27" s="31"/>
      <c r="I27" s="31"/>
      <c r="J27" s="31"/>
      <c r="K27" s="31"/>
      <c r="L27" s="31"/>
      <c r="M27" s="31"/>
    </row>
    <row r="28" spans="1:13" x14ac:dyDescent="0.2">
      <c r="A28" s="31"/>
      <c r="B28" s="31"/>
      <c r="C28" s="31"/>
      <c r="D28" s="31"/>
      <c r="E28" s="31"/>
      <c r="F28" s="31"/>
      <c r="G28" s="31"/>
      <c r="H28" s="31"/>
      <c r="I28" s="31"/>
      <c r="J28" s="31"/>
      <c r="K28" s="31"/>
      <c r="L28" s="31"/>
      <c r="M28" s="31"/>
    </row>
    <row r="29" spans="1:13" x14ac:dyDescent="0.2">
      <c r="A29" s="31"/>
      <c r="B29" s="31"/>
      <c r="C29" s="31"/>
      <c r="D29" s="31"/>
      <c r="E29" s="31"/>
      <c r="F29" s="31"/>
      <c r="G29" s="31"/>
      <c r="H29" s="31"/>
      <c r="I29" s="31"/>
      <c r="J29" s="31"/>
      <c r="K29" s="31"/>
      <c r="L29" s="31"/>
      <c r="M29" s="31"/>
    </row>
    <row r="30" spans="1:13" x14ac:dyDescent="0.2">
      <c r="A30" s="31"/>
      <c r="B30" s="31"/>
      <c r="C30" s="31"/>
      <c r="D30" s="31"/>
      <c r="E30" s="31"/>
      <c r="F30" s="31"/>
      <c r="G30" s="31"/>
      <c r="H30" s="31"/>
      <c r="I30" s="31"/>
      <c r="J30" s="31"/>
      <c r="K30" s="31"/>
      <c r="L30" s="31"/>
      <c r="M30" s="31"/>
    </row>
    <row r="31" spans="1:13" x14ac:dyDescent="0.2">
      <c r="A31" s="31"/>
      <c r="B31" s="31"/>
      <c r="C31" s="31"/>
      <c r="D31" s="31"/>
      <c r="E31" s="31"/>
      <c r="F31" s="31"/>
      <c r="G31" s="31"/>
      <c r="H31" s="31"/>
      <c r="I31" s="31"/>
      <c r="J31" s="31"/>
      <c r="K31" s="31"/>
      <c r="L31" s="31"/>
      <c r="M31" s="31"/>
    </row>
    <row r="32" spans="1:13" x14ac:dyDescent="0.2">
      <c r="A32" s="31"/>
      <c r="B32" s="31"/>
      <c r="C32" s="31"/>
      <c r="D32" s="31"/>
      <c r="E32" s="31"/>
      <c r="F32" s="31"/>
      <c r="G32" s="31"/>
      <c r="H32" s="31"/>
      <c r="I32" s="31"/>
      <c r="J32" s="31"/>
      <c r="K32" s="31"/>
      <c r="L32" s="31"/>
      <c r="M32" s="31"/>
    </row>
    <row r="33" spans="1:13" x14ac:dyDescent="0.2">
      <c r="A33" s="31"/>
      <c r="B33" s="31"/>
      <c r="C33" s="31"/>
      <c r="D33" s="31"/>
      <c r="E33" s="31"/>
      <c r="F33" s="31"/>
      <c r="G33" s="31"/>
      <c r="H33" s="31"/>
      <c r="I33" s="31"/>
      <c r="J33" s="31"/>
      <c r="K33" s="31"/>
      <c r="L33" s="31"/>
      <c r="M33" s="31"/>
    </row>
    <row r="34" spans="1:13" x14ac:dyDescent="0.2">
      <c r="A34" s="31"/>
      <c r="B34" s="31"/>
      <c r="C34" s="31"/>
      <c r="D34" s="31"/>
      <c r="E34" s="31"/>
      <c r="F34" s="31"/>
      <c r="G34" s="31"/>
      <c r="H34" s="31"/>
      <c r="I34" s="31"/>
      <c r="J34" s="31"/>
      <c r="K34" s="31"/>
      <c r="L34" s="31"/>
      <c r="M34" s="31"/>
    </row>
    <row r="35" spans="1:13" x14ac:dyDescent="0.2">
      <c r="A35" s="31"/>
      <c r="B35" s="31"/>
      <c r="C35" s="31"/>
      <c r="D35" s="31"/>
      <c r="E35" s="31"/>
      <c r="F35" s="31"/>
      <c r="G35" s="31"/>
      <c r="H35" s="31"/>
      <c r="I35" s="31"/>
      <c r="J35" s="31"/>
      <c r="K35" s="31"/>
      <c r="L35" s="31"/>
      <c r="M35" s="31"/>
    </row>
    <row r="36" spans="1:13" x14ac:dyDescent="0.2">
      <c r="A36" s="31"/>
      <c r="B36" s="31"/>
      <c r="C36" s="31"/>
      <c r="D36" s="31"/>
      <c r="E36" s="31"/>
      <c r="F36" s="31"/>
      <c r="G36" s="31"/>
      <c r="H36" s="31"/>
      <c r="I36" s="31"/>
      <c r="J36" s="31"/>
      <c r="K36" s="31"/>
      <c r="L36" s="31"/>
      <c r="M36" s="31"/>
    </row>
    <row r="37" spans="1:13" x14ac:dyDescent="0.2">
      <c r="A37" s="31"/>
      <c r="B37" s="31"/>
      <c r="C37" s="31"/>
      <c r="D37" s="31"/>
      <c r="E37" s="31"/>
      <c r="F37" s="31"/>
      <c r="G37" s="31"/>
      <c r="H37" s="31"/>
      <c r="I37" s="31"/>
      <c r="J37" s="31"/>
      <c r="K37" s="31"/>
      <c r="L37" s="31"/>
      <c r="M37" s="31"/>
    </row>
    <row r="38" spans="1:13" x14ac:dyDescent="0.2">
      <c r="A38" s="31"/>
      <c r="B38" s="31"/>
      <c r="C38" s="31"/>
      <c r="D38" s="31"/>
      <c r="E38" s="31"/>
      <c r="F38" s="31"/>
      <c r="G38" s="31"/>
      <c r="H38" s="31"/>
      <c r="I38" s="31"/>
      <c r="J38" s="31"/>
      <c r="K38" s="31"/>
      <c r="L38" s="31"/>
      <c r="M38" s="31"/>
    </row>
    <row r="39" spans="1:13" x14ac:dyDescent="0.2">
      <c r="A39" s="31"/>
      <c r="B39" s="31"/>
      <c r="C39" s="31"/>
      <c r="D39" s="31"/>
      <c r="E39" s="31"/>
      <c r="F39" s="31"/>
      <c r="G39" s="31"/>
      <c r="H39" s="31"/>
      <c r="I39" s="31"/>
      <c r="J39" s="31"/>
      <c r="K39" s="31"/>
      <c r="L39" s="31"/>
      <c r="M39" s="31"/>
    </row>
    <row r="40" spans="1:13" x14ac:dyDescent="0.2">
      <c r="A40" s="31"/>
      <c r="B40" s="31"/>
      <c r="C40" s="31"/>
      <c r="D40" s="31"/>
      <c r="E40" s="31"/>
      <c r="F40" s="31"/>
      <c r="G40" s="31"/>
      <c r="H40" s="31"/>
      <c r="I40" s="31"/>
      <c r="J40" s="31"/>
      <c r="K40" s="31"/>
      <c r="L40" s="31"/>
      <c r="M40" s="31"/>
    </row>
    <row r="41" spans="1:13" x14ac:dyDescent="0.2">
      <c r="A41" s="31"/>
      <c r="B41" s="31"/>
      <c r="C41" s="31"/>
      <c r="D41" s="31"/>
      <c r="E41" s="31"/>
      <c r="F41" s="31"/>
      <c r="G41" s="31"/>
      <c r="H41" s="31"/>
      <c r="I41" s="31"/>
      <c r="J41" s="31"/>
      <c r="K41" s="38"/>
      <c r="L41" s="31"/>
      <c r="M41" s="31"/>
    </row>
    <row r="42" spans="1:13" x14ac:dyDescent="0.2">
      <c r="A42" s="31"/>
      <c r="B42" s="31"/>
      <c r="C42" s="31"/>
      <c r="D42" s="31"/>
      <c r="E42" s="31"/>
      <c r="F42" s="31"/>
      <c r="G42" s="31"/>
      <c r="H42" s="31"/>
      <c r="I42" s="31"/>
      <c r="J42" s="31"/>
      <c r="K42" s="31"/>
      <c r="L42" s="31"/>
      <c r="M42" s="31"/>
    </row>
    <row r="43" spans="1:13" x14ac:dyDescent="0.2">
      <c r="A43" s="31"/>
      <c r="B43" s="31"/>
      <c r="C43" s="31"/>
      <c r="D43" s="31"/>
      <c r="E43" s="31"/>
      <c r="F43" s="31"/>
      <c r="G43" s="31"/>
      <c r="H43" s="31"/>
      <c r="I43" s="31"/>
      <c r="J43" s="31"/>
      <c r="K43" s="31"/>
      <c r="L43" s="31"/>
      <c r="M43" s="31"/>
    </row>
    <row r="44" spans="1:13" x14ac:dyDescent="0.2">
      <c r="A44" s="31"/>
      <c r="B44" s="31"/>
      <c r="C44" s="31"/>
      <c r="D44" s="31"/>
      <c r="E44" s="31"/>
      <c r="F44" s="31"/>
      <c r="G44" s="31"/>
      <c r="H44" s="31"/>
      <c r="I44" s="31"/>
      <c r="J44" s="31"/>
      <c r="K44" s="31"/>
      <c r="L44" s="31"/>
      <c r="M44" s="31"/>
    </row>
    <row r="45" spans="1:13" x14ac:dyDescent="0.2">
      <c r="A45" s="31"/>
      <c r="B45" s="31"/>
      <c r="C45" s="31"/>
      <c r="D45" s="31"/>
      <c r="E45" s="31"/>
      <c r="F45" s="31"/>
      <c r="G45" s="31"/>
      <c r="H45" s="31"/>
      <c r="I45" s="31"/>
      <c r="J45" s="31"/>
      <c r="K45" s="31"/>
      <c r="L45" s="31"/>
      <c r="M45" s="31"/>
    </row>
    <row r="46" spans="1:13" x14ac:dyDescent="0.2">
      <c r="A46" s="31"/>
      <c r="B46" s="31"/>
      <c r="C46" s="31"/>
      <c r="D46" s="31"/>
      <c r="E46" s="31"/>
      <c r="F46" s="31"/>
      <c r="G46" s="31"/>
      <c r="H46" s="31"/>
      <c r="I46" s="31"/>
      <c r="J46" s="31"/>
      <c r="K46" s="31"/>
      <c r="L46" s="31"/>
      <c r="M46" s="31"/>
    </row>
    <row r="47" spans="1:13" x14ac:dyDescent="0.2">
      <c r="A47" s="31"/>
      <c r="B47" s="31"/>
      <c r="C47" s="31"/>
      <c r="D47" s="31"/>
      <c r="E47" s="31"/>
      <c r="F47" s="31"/>
      <c r="G47" s="31"/>
      <c r="H47" s="31"/>
      <c r="I47" s="31"/>
      <c r="J47" s="31"/>
      <c r="K47" s="31"/>
      <c r="L47" s="31"/>
      <c r="M47" s="31"/>
    </row>
    <row r="48" spans="1:13" x14ac:dyDescent="0.2">
      <c r="A48" s="33"/>
      <c r="B48" s="36"/>
      <c r="C48" s="36"/>
      <c r="D48" s="36"/>
      <c r="E48" s="36"/>
      <c r="F48" s="36"/>
      <c r="G48" s="36"/>
      <c r="H48" s="36"/>
      <c r="I48" s="36"/>
      <c r="J48" s="36"/>
      <c r="K48" s="36"/>
      <c r="L48" s="36"/>
      <c r="M48" s="36"/>
    </row>
    <row r="49" spans="1:13" x14ac:dyDescent="0.2">
      <c r="A49" s="33"/>
      <c r="B49" s="36"/>
      <c r="C49" s="36"/>
      <c r="D49" s="36"/>
      <c r="E49" s="36"/>
      <c r="F49" s="36"/>
      <c r="G49" s="36"/>
      <c r="H49" s="36"/>
      <c r="I49" s="36"/>
      <c r="J49" s="36"/>
      <c r="K49" s="36"/>
      <c r="L49" s="36"/>
      <c r="M49" s="36"/>
    </row>
    <row r="50" spans="1:13" x14ac:dyDescent="0.2">
      <c r="A50" s="33"/>
      <c r="B50" s="36"/>
      <c r="C50" s="36"/>
      <c r="D50" s="36"/>
      <c r="E50" s="36"/>
      <c r="F50" s="36"/>
      <c r="G50" s="36"/>
      <c r="H50" s="36"/>
      <c r="I50" s="36"/>
      <c r="J50" s="36"/>
      <c r="K50" s="37"/>
      <c r="L50" s="36"/>
      <c r="M50" s="36"/>
    </row>
    <row r="51" spans="1:13" x14ac:dyDescent="0.2">
      <c r="A51" s="33"/>
      <c r="B51" s="36"/>
      <c r="C51" s="36"/>
      <c r="D51" s="36"/>
      <c r="E51" s="36"/>
      <c r="F51" s="36"/>
      <c r="G51" s="36"/>
      <c r="H51" s="36"/>
      <c r="I51" s="36"/>
      <c r="J51" s="36"/>
      <c r="K51" s="36"/>
      <c r="L51" s="36"/>
      <c r="M51" s="36"/>
    </row>
  </sheetData>
  <sheetProtection sheet="1" objects="1" scenarios="1" selectLockedCells="1"/>
  <printOptions horizontalCentered="1"/>
  <pageMargins left="0.5" right="0.5" top="0.5" bottom="0.5" header="0.5" footer="0.5"/>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F8FAB"/>
    <pageSetUpPr fitToPage="1"/>
  </sheetPr>
  <dimension ref="A1:I61"/>
  <sheetViews>
    <sheetView topLeftCell="A13" zoomScaleNormal="100" zoomScalePageLayoutView="60" workbookViewId="0">
      <selection activeCell="C31" sqref="C31:D31"/>
    </sheetView>
  </sheetViews>
  <sheetFormatPr defaultColWidth="0" defaultRowHeight="14.25" zeroHeight="1" x14ac:dyDescent="0.2"/>
  <cols>
    <col min="1" max="1" width="48.25" style="42" customWidth="1"/>
    <col min="2" max="4" width="20.75" style="90" customWidth="1"/>
    <col min="5" max="5" width="20.75" hidden="1" customWidth="1"/>
    <col min="6" max="6" width="18.5" hidden="1" customWidth="1"/>
    <col min="7" max="7" width="9" hidden="1" customWidth="1"/>
    <col min="8" max="9" width="8" hidden="1" customWidth="1"/>
    <col min="10" max="16384" width="9" hidden="1"/>
  </cols>
  <sheetData>
    <row r="1" spans="1:6" ht="60" customHeight="1" x14ac:dyDescent="0.2">
      <c r="A1" s="39" t="s">
        <v>189</v>
      </c>
      <c r="B1" s="353"/>
      <c r="C1" s="353"/>
      <c r="D1" s="353"/>
    </row>
    <row r="2" spans="1:6" ht="20.100000000000001" customHeight="1" x14ac:dyDescent="0.2">
      <c r="A2" s="145"/>
      <c r="B2" s="84"/>
      <c r="C2" s="84"/>
      <c r="D2" s="84"/>
    </row>
    <row r="3" spans="1:6" ht="36.75" customHeight="1" x14ac:dyDescent="0.2">
      <c r="A3" s="657"/>
      <c r="B3" s="367" t="s">
        <v>190</v>
      </c>
      <c r="C3" s="368" t="s">
        <v>191</v>
      </c>
      <c r="D3" s="369" t="s">
        <v>192</v>
      </c>
    </row>
    <row r="4" spans="1:6" ht="20.100000000000001" customHeight="1" x14ac:dyDescent="0.2">
      <c r="A4" s="159" t="s">
        <v>193</v>
      </c>
      <c r="B4" s="160" t="str">
        <f>IF('Input Sheet'!F19="","",'Input Sheet'!F19)</f>
        <v/>
      </c>
      <c r="C4" s="358">
        <v>0.67</v>
      </c>
      <c r="D4" s="161" t="str">
        <f>+(IF(B4&lt;C4,C4-B4,""))</f>
        <v/>
      </c>
    </row>
    <row r="5" spans="1:6" ht="20.100000000000001" customHeight="1" x14ac:dyDescent="0.2">
      <c r="A5" s="138" t="s">
        <v>194</v>
      </c>
      <c r="B5" s="360" t="str">
        <f>IF('Input Sheet'!F20="","",'Input Sheet'!F20)</f>
        <v/>
      </c>
      <c r="C5" s="359">
        <v>0.88</v>
      </c>
      <c r="D5" s="285" t="str">
        <f>+(IF(B5&lt;C5,C5-B5,""))</f>
        <v/>
      </c>
    </row>
    <row r="6" spans="1:6" ht="20.100000000000001" customHeight="1" x14ac:dyDescent="0.2">
      <c r="A6" s="138" t="s">
        <v>195</v>
      </c>
      <c r="B6" s="360" t="str">
        <f>+IF('Input Sheet'!F21="","",'Input Sheet'!F21)</f>
        <v/>
      </c>
      <c r="C6" s="359">
        <v>0.98</v>
      </c>
      <c r="D6" s="285" t="str">
        <f>+(IF(B6&lt;C6,C6-B6, ""))</f>
        <v/>
      </c>
    </row>
    <row r="7" spans="1:6" ht="20.100000000000001" customHeight="1" x14ac:dyDescent="0.2">
      <c r="A7" s="139" t="s">
        <v>196</v>
      </c>
      <c r="B7" s="361" t="str">
        <f>IF('Input Sheet'!F22="","",'Input Sheet'!F22)</f>
        <v/>
      </c>
      <c r="C7" s="363"/>
      <c r="D7" s="362"/>
    </row>
    <row r="8" spans="1:6" ht="20.100000000000001" customHeight="1" x14ac:dyDescent="0.2">
      <c r="A8" s="47"/>
      <c r="B8" s="84"/>
      <c r="C8" s="84"/>
      <c r="D8" s="84"/>
    </row>
    <row r="9" spans="1:6" ht="35.1" customHeight="1" x14ac:dyDescent="0.25">
      <c r="A9" s="278" t="s">
        <v>197</v>
      </c>
      <c r="B9" s="352"/>
      <c r="C9" s="275"/>
      <c r="D9" s="275"/>
      <c r="E9" s="22"/>
      <c r="F9" s="1"/>
    </row>
    <row r="10" spans="1:6" s="31" customFormat="1" ht="20.100000000000001" customHeight="1" x14ac:dyDescent="0.25">
      <c r="A10" s="357"/>
      <c r="B10" s="354"/>
      <c r="C10" s="355"/>
      <c r="D10" s="355"/>
      <c r="E10" s="356"/>
      <c r="F10" s="176"/>
    </row>
    <row r="11" spans="1:6" ht="30" customHeight="1" x14ac:dyDescent="0.25">
      <c r="A11" s="370" t="s">
        <v>198</v>
      </c>
      <c r="B11" s="371"/>
      <c r="C11" s="648"/>
      <c r="D11" s="649"/>
      <c r="E11" s="1"/>
      <c r="F11" s="1"/>
    </row>
    <row r="12" spans="1:6" ht="20.100000000000001" customHeight="1" x14ac:dyDescent="0.2">
      <c r="A12" s="159" t="s">
        <v>199</v>
      </c>
      <c r="B12" s="641" t="str">
        <f>D5</f>
        <v/>
      </c>
      <c r="C12" s="647" t="str">
        <f>IF(B12="","0",+B12*0.17)</f>
        <v>0</v>
      </c>
      <c r="D12" s="235"/>
      <c r="E12" s="24"/>
    </row>
    <row r="13" spans="1:6" ht="20.100000000000001" customHeight="1" x14ac:dyDescent="0.2">
      <c r="A13" s="138" t="s">
        <v>200</v>
      </c>
      <c r="B13" s="642" t="str">
        <f>+D6</f>
        <v/>
      </c>
      <c r="C13" s="647" t="str">
        <f>IF(B13="","0",+B13*0.29)</f>
        <v>0</v>
      </c>
      <c r="D13" s="644"/>
      <c r="E13" s="24"/>
    </row>
    <row r="14" spans="1:6" ht="20.100000000000001" customHeight="1" x14ac:dyDescent="0.2">
      <c r="A14" s="223" t="s">
        <v>201</v>
      </c>
      <c r="B14" s="643"/>
      <c r="C14" s="646">
        <f>IF(C12= ""," ",(C12+C13))</f>
        <v>0</v>
      </c>
      <c r="D14" s="645"/>
      <c r="E14" s="24"/>
    </row>
    <row r="15" spans="1:6" ht="20.100000000000001" customHeight="1" x14ac:dyDescent="0.2">
      <c r="A15" s="197"/>
      <c r="B15" s="84"/>
      <c r="C15" s="364"/>
      <c r="D15" s="84"/>
      <c r="E15" s="24"/>
    </row>
    <row r="16" spans="1:6" ht="30" customHeight="1" x14ac:dyDescent="0.2">
      <c r="A16" s="370" t="s">
        <v>202</v>
      </c>
      <c r="B16" s="372"/>
      <c r="C16" s="652"/>
      <c r="D16" s="650"/>
      <c r="E16" s="2"/>
      <c r="F16" s="2"/>
    </row>
    <row r="17" spans="1:6" ht="20.100000000000001" customHeight="1" x14ac:dyDescent="0.2">
      <c r="A17" s="159" t="s">
        <v>199</v>
      </c>
      <c r="B17" s="654" t="str">
        <f>+D5</f>
        <v/>
      </c>
      <c r="C17" s="653" t="str">
        <f>IF(B17="","0",+B17*0.06)</f>
        <v>0</v>
      </c>
      <c r="D17" s="644"/>
      <c r="E17" s="24"/>
    </row>
    <row r="18" spans="1:6" ht="20.100000000000001" customHeight="1" x14ac:dyDescent="0.2">
      <c r="A18" s="138" t="s">
        <v>200</v>
      </c>
      <c r="B18" s="642" t="str">
        <f>+D6</f>
        <v/>
      </c>
      <c r="C18" s="656" t="str">
        <f>IF(B18="","0",+B18*0.11)</f>
        <v>0</v>
      </c>
      <c r="D18" s="644"/>
      <c r="E18" s="24"/>
    </row>
    <row r="19" spans="1:6" ht="20.100000000000001" customHeight="1" x14ac:dyDescent="0.2">
      <c r="A19" s="223" t="s">
        <v>203</v>
      </c>
      <c r="B19" s="643"/>
      <c r="C19" s="655">
        <f>IF(C17="","",C17+C18)</f>
        <v>0</v>
      </c>
      <c r="D19" s="645"/>
      <c r="E19" s="24"/>
    </row>
    <row r="20" spans="1:6" ht="20.100000000000001" customHeight="1" x14ac:dyDescent="0.2">
      <c r="A20" s="47"/>
      <c r="B20" s="84"/>
      <c r="C20" s="651"/>
      <c r="D20" s="84"/>
    </row>
    <row r="21" spans="1:6" ht="35.1" customHeight="1" x14ac:dyDescent="0.25">
      <c r="A21" s="661" t="s">
        <v>204</v>
      </c>
      <c r="B21" s="299"/>
      <c r="C21" s="299"/>
      <c r="D21" s="299"/>
      <c r="E21" s="22"/>
      <c r="F21" s="1"/>
    </row>
    <row r="22" spans="1:6" ht="20.100000000000001" customHeight="1" x14ac:dyDescent="0.2">
      <c r="A22" s="146"/>
      <c r="B22" s="236"/>
      <c r="C22" s="236"/>
      <c r="D22" s="236"/>
      <c r="E22" s="2"/>
      <c r="F22" s="2"/>
    </row>
    <row r="23" spans="1:6" ht="30" customHeight="1" x14ac:dyDescent="0.2">
      <c r="A23" s="255" t="s">
        <v>129</v>
      </c>
      <c r="B23" s="373"/>
      <c r="C23" s="306"/>
      <c r="D23" s="84"/>
      <c r="E23" s="24"/>
      <c r="F23" s="18"/>
    </row>
    <row r="24" spans="1:6" ht="20.100000000000001" customHeight="1" x14ac:dyDescent="0.2">
      <c r="A24" s="159" t="s">
        <v>107</v>
      </c>
      <c r="B24" s="397">
        <f>IF(C14="", "", C14)</f>
        <v>0</v>
      </c>
      <c r="C24" s="84"/>
      <c r="D24" s="84"/>
    </row>
    <row r="25" spans="1:6" ht="20.100000000000001" customHeight="1" x14ac:dyDescent="0.2">
      <c r="A25" s="139" t="s">
        <v>108</v>
      </c>
      <c r="B25" s="398">
        <f>IF(B24="", "", (B24*'Input Sheet'!I6*'Input Sheet'!B5)*100)</f>
        <v>0</v>
      </c>
      <c r="C25" s="236"/>
      <c r="D25" s="236"/>
      <c r="E25" s="2"/>
      <c r="F25" s="2"/>
    </row>
    <row r="26" spans="1:6" ht="20.100000000000001" customHeight="1" x14ac:dyDescent="0.2">
      <c r="A26" s="291"/>
      <c r="B26" s="239"/>
      <c r="C26" s="269"/>
      <c r="D26" s="365"/>
    </row>
    <row r="27" spans="1:6" ht="30" customHeight="1" x14ac:dyDescent="0.2">
      <c r="A27" s="255" t="s">
        <v>109</v>
      </c>
      <c r="B27" s="373"/>
      <c r="C27" s="84"/>
      <c r="D27" s="84"/>
    </row>
    <row r="28" spans="1:6" ht="20.100000000000001" customHeight="1" x14ac:dyDescent="0.2">
      <c r="A28" s="159" t="s">
        <v>110</v>
      </c>
      <c r="B28" s="397">
        <f>IF(C19="", "", C19)</f>
        <v>0</v>
      </c>
      <c r="C28" s="84"/>
      <c r="D28" s="84"/>
    </row>
    <row r="29" spans="1:6" ht="20.100000000000001" customHeight="1" x14ac:dyDescent="0.2">
      <c r="A29" s="139" t="s">
        <v>108</v>
      </c>
      <c r="B29" s="398">
        <f>IF(B28="","",(B28*10*'Input Sheet'!B5)*100)</f>
        <v>0</v>
      </c>
      <c r="C29" s="84"/>
      <c r="D29" s="84"/>
    </row>
    <row r="30" spans="1:6" ht="20.100000000000001" customHeight="1" x14ac:dyDescent="0.2">
      <c r="A30" s="47"/>
      <c r="B30" s="84"/>
      <c r="C30" s="84"/>
      <c r="D30" s="84"/>
    </row>
    <row r="31" spans="1:6" ht="35.25" customHeight="1" x14ac:dyDescent="0.2">
      <c r="A31" s="350" t="s">
        <v>111</v>
      </c>
      <c r="B31" s="399">
        <f>IF(AND((B25=""),(B29="")),"",(B25+B29))</f>
        <v>0</v>
      </c>
      <c r="C31" s="711" t="str">
        <f>IF(B31="","Well done!"&amp;CHAR(10)&amp;"You do not have a gap in this area", "")</f>
        <v/>
      </c>
      <c r="D31" s="711"/>
    </row>
    <row r="32" spans="1:6" ht="20.100000000000001" customHeight="1" x14ac:dyDescent="0.2">
      <c r="A32" s="47"/>
      <c r="B32" s="84"/>
      <c r="C32" s="84"/>
      <c r="D32" s="84"/>
    </row>
    <row r="33" spans="1:4" ht="20.100000000000001" hidden="1" customHeight="1" x14ac:dyDescent="0.2">
      <c r="A33" s="47"/>
      <c r="B33" s="84"/>
      <c r="C33" s="84"/>
      <c r="D33" s="84"/>
    </row>
    <row r="34" spans="1:4" ht="20.100000000000001" hidden="1" customHeight="1" x14ac:dyDescent="0.2">
      <c r="A34" s="47"/>
      <c r="B34" s="84"/>
      <c r="C34" s="84"/>
      <c r="D34" s="84"/>
    </row>
    <row r="35" spans="1:4" ht="20.100000000000001" hidden="1" customHeight="1" x14ac:dyDescent="0.2">
      <c r="A35" s="47"/>
      <c r="B35" s="84"/>
      <c r="C35" s="84"/>
      <c r="D35" s="84"/>
    </row>
    <row r="36" spans="1:4" ht="20.100000000000001" hidden="1" customHeight="1" x14ac:dyDescent="0.2">
      <c r="A36" s="47"/>
      <c r="B36" s="84"/>
      <c r="C36" s="84"/>
      <c r="D36" s="84"/>
    </row>
    <row r="37" spans="1:4" ht="20.100000000000001" hidden="1" customHeight="1" x14ac:dyDescent="0.2">
      <c r="A37" s="47"/>
      <c r="B37" s="84"/>
      <c r="C37" s="84"/>
      <c r="D37" s="84"/>
    </row>
    <row r="38" spans="1:4" ht="20.100000000000001" hidden="1" customHeight="1" x14ac:dyDescent="0.2">
      <c r="A38" s="47"/>
      <c r="B38" s="84"/>
      <c r="C38" s="84"/>
      <c r="D38" s="84"/>
    </row>
    <row r="39" spans="1:4" ht="20.100000000000001" hidden="1" customHeight="1" x14ac:dyDescent="0.2">
      <c r="A39" s="47"/>
      <c r="B39" s="84"/>
      <c r="C39" s="84"/>
      <c r="D39" s="84"/>
    </row>
    <row r="40" spans="1:4" ht="20.100000000000001" hidden="1" customHeight="1" x14ac:dyDescent="0.2">
      <c r="A40" s="47"/>
      <c r="B40" s="84"/>
      <c r="C40" s="84"/>
      <c r="D40" s="84"/>
    </row>
    <row r="41" spans="1:4" hidden="1" x14ac:dyDescent="0.2">
      <c r="A41" s="47"/>
      <c r="B41" s="84"/>
      <c r="C41" s="84"/>
      <c r="D41" s="84"/>
    </row>
    <row r="42" spans="1:4" hidden="1" x14ac:dyDescent="0.2">
      <c r="A42" s="47"/>
      <c r="B42" s="84"/>
      <c r="C42" s="84"/>
      <c r="D42" s="84"/>
    </row>
    <row r="43" spans="1:4" x14ac:dyDescent="0.2">
      <c r="A43" s="47"/>
      <c r="B43" s="84"/>
      <c r="C43" s="84"/>
      <c r="D43" s="84"/>
    </row>
    <row r="44" spans="1:4" x14ac:dyDescent="0.2">
      <c r="A44" s="47"/>
      <c r="B44" s="84"/>
      <c r="C44" s="84"/>
      <c r="D44" s="84"/>
    </row>
    <row r="45" spans="1:4" x14ac:dyDescent="0.2">
      <c r="A45" s="47"/>
      <c r="B45" s="84"/>
      <c r="C45" s="84"/>
      <c r="D45" s="84"/>
    </row>
    <row r="46" spans="1:4" x14ac:dyDescent="0.2">
      <c r="A46" s="47"/>
      <c r="B46" s="84"/>
      <c r="C46" s="84"/>
      <c r="D46" s="84"/>
    </row>
    <row r="47" spans="1:4" x14ac:dyDescent="0.2">
      <c r="A47" s="47"/>
      <c r="B47" s="84"/>
      <c r="C47" s="84"/>
      <c r="D47" s="84"/>
    </row>
    <row r="48" spans="1:4" ht="14.25" customHeight="1" x14ac:dyDescent="0.2">
      <c r="A48" s="349"/>
      <c r="B48" s="396"/>
      <c r="C48" s="396"/>
      <c r="D48" s="396"/>
    </row>
    <row r="49" spans="1:4" ht="14.25" customHeight="1" x14ac:dyDescent="0.2">
      <c r="A49" s="349"/>
      <c r="B49" s="396"/>
      <c r="C49" s="396"/>
      <c r="D49" s="396"/>
    </row>
    <row r="50" spans="1:4" ht="14.25" customHeight="1" x14ac:dyDescent="0.2">
      <c r="A50" s="349"/>
      <c r="B50" s="396"/>
      <c r="C50" s="396"/>
      <c r="D50" s="396"/>
    </row>
    <row r="51" spans="1:4" ht="14.25" customHeight="1" x14ac:dyDescent="0.2">
      <c r="A51" s="349"/>
      <c r="B51" s="396"/>
      <c r="C51" s="396"/>
      <c r="D51" s="396"/>
    </row>
    <row r="52" spans="1:4" hidden="1" x14ac:dyDescent="0.2">
      <c r="B52" s="462"/>
      <c r="C52" s="462"/>
      <c r="D52" s="462"/>
    </row>
    <row r="53" spans="1:4" hidden="1" x14ac:dyDescent="0.2">
      <c r="B53" s="462"/>
      <c r="C53" s="462"/>
      <c r="D53" s="462"/>
    </row>
    <row r="54" spans="1:4" hidden="1" x14ac:dyDescent="0.2">
      <c r="B54" s="462"/>
      <c r="C54" s="462"/>
      <c r="D54" s="462"/>
    </row>
    <row r="55" spans="1:4" hidden="1" x14ac:dyDescent="0.2">
      <c r="B55" s="462"/>
      <c r="C55" s="462"/>
      <c r="D55" s="462"/>
    </row>
    <row r="56" spans="1:4" hidden="1" x14ac:dyDescent="0.2">
      <c r="B56" s="462"/>
      <c r="C56" s="462"/>
      <c r="D56" s="462"/>
    </row>
    <row r="57" spans="1:4" hidden="1" x14ac:dyDescent="0.2">
      <c r="B57" s="462"/>
      <c r="C57" s="462"/>
      <c r="D57" s="462"/>
    </row>
    <row r="58" spans="1:4" hidden="1" x14ac:dyDescent="0.2">
      <c r="B58" s="462"/>
      <c r="C58" s="462"/>
      <c r="D58" s="462"/>
    </row>
    <row r="59" spans="1:4" hidden="1" x14ac:dyDescent="0.2">
      <c r="B59" s="462"/>
      <c r="C59" s="462"/>
      <c r="D59" s="462"/>
    </row>
    <row r="60" spans="1:4" hidden="1" x14ac:dyDescent="0.2">
      <c r="B60" s="462"/>
      <c r="C60" s="462"/>
      <c r="D60" s="462"/>
    </row>
    <row r="61" spans="1:4" hidden="1" x14ac:dyDescent="0.2">
      <c r="B61" s="462"/>
      <c r="C61" s="462"/>
      <c r="D61" s="462"/>
    </row>
  </sheetData>
  <sheetProtection selectLockedCells="1"/>
  <mergeCells count="1">
    <mergeCell ref="C31:D31"/>
  </mergeCells>
  <printOptions horizontalCentered="1"/>
  <pageMargins left="0.5" right="0.5" top="0.5" bottom="0.5" header="0.5" footer="0.5"/>
  <pageSetup paperSize="9" scale="6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AC143"/>
    <pageSetUpPr fitToPage="1"/>
  </sheetPr>
  <dimension ref="A1:P53"/>
  <sheetViews>
    <sheetView tabSelected="1" topLeftCell="A21" zoomScaleNormal="100" zoomScalePageLayoutView="60" workbookViewId="0">
      <selection activeCell="B29" sqref="B29"/>
    </sheetView>
  </sheetViews>
  <sheetFormatPr defaultColWidth="0" defaultRowHeight="14.25" zeroHeight="1" x14ac:dyDescent="0.2"/>
  <cols>
    <col min="1" max="1" width="49.25" style="90" customWidth="1"/>
    <col min="2" max="4" width="27.125" style="90" customWidth="1"/>
    <col min="5" max="5" width="18.5" style="544" hidden="1" customWidth="1"/>
    <col min="6" max="6" width="29.75" style="544" hidden="1" customWidth="1"/>
    <col min="7" max="7" width="18.5" style="544" hidden="1" customWidth="1"/>
    <col min="8" max="8" width="7.5" style="544" hidden="1" customWidth="1"/>
    <col min="9" max="9" width="18.5" style="544" hidden="1" customWidth="1"/>
    <col min="10" max="10" width="25" style="544" hidden="1" customWidth="1"/>
    <col min="11" max="11" width="18.25" style="544" hidden="1" customWidth="1"/>
    <col min="12" max="12" width="24.75" style="544" hidden="1" customWidth="1"/>
    <col min="13" max="13" width="19.875" style="544" hidden="1" customWidth="1"/>
    <col min="14" max="14" width="13.25" style="544" hidden="1" customWidth="1"/>
    <col min="15" max="15" width="18.25" style="544" hidden="1" customWidth="1"/>
    <col min="16" max="16" width="16.25" style="544" hidden="1" customWidth="1"/>
    <col min="17" max="16384" width="9" style="544" hidden="1"/>
  </cols>
  <sheetData>
    <row r="1" spans="1:16" s="90" customFormat="1" ht="60" customHeight="1" x14ac:dyDescent="0.2">
      <c r="A1" s="39" t="s">
        <v>205</v>
      </c>
      <c r="B1" s="177"/>
      <c r="C1" s="177"/>
      <c r="D1" s="423"/>
      <c r="E1" s="673"/>
      <c r="F1" s="673"/>
      <c r="G1" s="673"/>
      <c r="H1" s="673"/>
      <c r="I1" s="673"/>
      <c r="J1" s="673"/>
      <c r="K1" s="673"/>
      <c r="L1" s="673"/>
      <c r="M1" s="673"/>
      <c r="N1" s="675"/>
      <c r="O1" s="675"/>
      <c r="P1" s="569"/>
    </row>
    <row r="2" spans="1:16" s="84" customFormat="1" ht="20.100000000000001" customHeight="1" x14ac:dyDescent="0.2">
      <c r="A2" s="400"/>
      <c r="B2" s="401"/>
      <c r="C2" s="401"/>
      <c r="D2" s="401"/>
      <c r="E2" s="596"/>
      <c r="F2" s="596"/>
      <c r="G2" s="596"/>
      <c r="H2" s="596"/>
      <c r="I2" s="596"/>
      <c r="J2" s="597"/>
      <c r="K2" s="597"/>
      <c r="L2" s="597"/>
      <c r="M2" s="597"/>
      <c r="N2" s="597"/>
      <c r="O2" s="597"/>
      <c r="P2" s="618"/>
    </row>
    <row r="3" spans="1:16" s="90" customFormat="1" ht="30" customHeight="1" x14ac:dyDescent="0.2">
      <c r="A3" s="255" t="s">
        <v>206</v>
      </c>
      <c r="B3" s="425"/>
      <c r="C3" s="402"/>
      <c r="D3" s="84"/>
      <c r="E3" s="673"/>
      <c r="F3" s="673"/>
      <c r="G3" s="673"/>
      <c r="H3" s="598"/>
      <c r="I3" s="572"/>
      <c r="J3" s="673"/>
      <c r="K3" s="673"/>
      <c r="L3" s="673"/>
      <c r="M3" s="673"/>
      <c r="N3" s="673"/>
      <c r="O3" s="673"/>
      <c r="P3" s="545"/>
    </row>
    <row r="4" spans="1:16" s="192" customFormat="1" ht="20.100000000000001" customHeight="1" x14ac:dyDescent="0.2">
      <c r="A4" s="405" t="s">
        <v>207</v>
      </c>
      <c r="B4" s="406" t="s">
        <v>208</v>
      </c>
      <c r="C4" s="201"/>
      <c r="D4" s="201"/>
      <c r="E4" s="599"/>
      <c r="F4" s="599"/>
      <c r="G4" s="599"/>
      <c r="H4" s="600"/>
      <c r="I4" s="601"/>
      <c r="J4" s="599"/>
      <c r="K4" s="599"/>
      <c r="L4" s="599"/>
      <c r="M4" s="599"/>
      <c r="N4" s="599"/>
      <c r="O4" s="599"/>
      <c r="P4" s="619"/>
    </row>
    <row r="5" spans="1:16" s="192" customFormat="1" ht="20.100000000000001" customHeight="1" x14ac:dyDescent="0.2">
      <c r="A5" s="407">
        <v>3.01</v>
      </c>
      <c r="B5" s="408" t="str">
        <f>IF('Input Sheet'!$F$25="", "", 'Input Sheet'!$F$25*0.2)</f>
        <v/>
      </c>
      <c r="C5" s="201"/>
      <c r="D5" s="201"/>
      <c r="E5" s="599"/>
      <c r="F5" s="599"/>
      <c r="G5" s="599"/>
      <c r="H5" s="600"/>
      <c r="I5" s="599"/>
      <c r="J5" s="599"/>
      <c r="K5" s="599"/>
      <c r="L5" s="599"/>
      <c r="M5" s="599"/>
      <c r="N5" s="599"/>
      <c r="O5" s="599"/>
      <c r="P5" s="619"/>
    </row>
    <row r="6" spans="1:16" s="192" customFormat="1" ht="20.100000000000001" customHeight="1" x14ac:dyDescent="0.2">
      <c r="A6" s="407">
        <v>6.01</v>
      </c>
      <c r="B6" s="408" t="str">
        <f>IF('Input Sheet'!$F$25="", "", 'Input Sheet'!$F$25*0.3)</f>
        <v/>
      </c>
      <c r="C6" s="201"/>
      <c r="D6" s="201"/>
      <c r="E6" s="599"/>
      <c r="F6" s="599"/>
      <c r="G6" s="599"/>
      <c r="H6" s="600"/>
      <c r="I6" s="599"/>
      <c r="J6" s="599"/>
      <c r="K6" s="599"/>
      <c r="L6" s="599"/>
      <c r="M6" s="599"/>
      <c r="N6" s="599"/>
      <c r="O6" s="599"/>
      <c r="P6" s="619"/>
    </row>
    <row r="7" spans="1:16" s="192" customFormat="1" ht="20.100000000000001" customHeight="1" x14ac:dyDescent="0.2">
      <c r="A7" s="407">
        <v>9.01</v>
      </c>
      <c r="B7" s="408" t="str">
        <f>IF('Input Sheet'!$F$25="", "", 'Input Sheet'!$F$25*0.4)</f>
        <v/>
      </c>
      <c r="C7" s="201"/>
      <c r="D7" s="201"/>
      <c r="E7" s="599"/>
      <c r="F7" s="599"/>
      <c r="G7" s="599"/>
      <c r="H7" s="600"/>
      <c r="I7" s="599"/>
      <c r="J7" s="599"/>
      <c r="K7" s="599"/>
      <c r="L7" s="599"/>
      <c r="M7" s="599"/>
      <c r="N7" s="599"/>
      <c r="O7" s="599"/>
      <c r="P7" s="619"/>
    </row>
    <row r="8" spans="1:16" s="192" customFormat="1" ht="20.100000000000001" customHeight="1" x14ac:dyDescent="0.2">
      <c r="A8" s="407">
        <v>12.01</v>
      </c>
      <c r="B8" s="408" t="str">
        <f>IF('Input Sheet'!$F$25="", "", 'Input Sheet'!$F$25*0.5)</f>
        <v/>
      </c>
      <c r="C8" s="201"/>
      <c r="D8" s="201"/>
      <c r="E8" s="599"/>
      <c r="F8" s="599"/>
      <c r="G8" s="599"/>
      <c r="H8" s="600"/>
      <c r="I8" s="599"/>
      <c r="J8" s="599"/>
      <c r="K8" s="599"/>
      <c r="L8" s="599"/>
      <c r="M8" s="599"/>
      <c r="N8" s="599"/>
      <c r="O8" s="599"/>
      <c r="P8" s="619"/>
    </row>
    <row r="9" spans="1:16" s="192" customFormat="1" ht="20.100000000000001" customHeight="1" x14ac:dyDescent="0.2">
      <c r="A9" s="407">
        <v>15.01</v>
      </c>
      <c r="B9" s="408" t="str">
        <f>IF('Input Sheet'!$F$25="", "", 'Input Sheet'!$F$25*0.6)</f>
        <v/>
      </c>
      <c r="C9" s="201"/>
      <c r="D9" s="201"/>
      <c r="E9" s="599"/>
      <c r="F9" s="599"/>
      <c r="G9" s="599"/>
      <c r="H9" s="600"/>
      <c r="I9" s="599"/>
      <c r="J9" s="599"/>
      <c r="K9" s="599"/>
      <c r="L9" s="599"/>
      <c r="M9" s="599"/>
      <c r="N9" s="599"/>
      <c r="O9" s="599"/>
      <c r="P9" s="619"/>
    </row>
    <row r="10" spans="1:16" s="192" customFormat="1" ht="20.100000000000001" customHeight="1" x14ac:dyDescent="0.2">
      <c r="A10" s="407">
        <v>18.010000000000002</v>
      </c>
      <c r="B10" s="408" t="str">
        <f>IF('Input Sheet'!$F$25="", "", 'Input Sheet'!$F$25*0.73)</f>
        <v/>
      </c>
      <c r="C10" s="201"/>
      <c r="D10" s="201"/>
      <c r="E10" s="599"/>
      <c r="F10" s="599"/>
      <c r="G10" s="600"/>
      <c r="H10" s="600"/>
      <c r="I10" s="599"/>
      <c r="J10" s="599"/>
      <c r="K10" s="599"/>
      <c r="L10" s="599"/>
      <c r="M10" s="599"/>
      <c r="N10" s="599"/>
      <c r="O10" s="599"/>
      <c r="P10" s="619"/>
    </row>
    <row r="11" spans="1:16" s="192" customFormat="1" ht="20.100000000000001" customHeight="1" x14ac:dyDescent="0.2">
      <c r="A11" s="409">
        <v>22.01</v>
      </c>
      <c r="B11" s="410" t="str">
        <f>IF('Input Sheet'!$F$25="", "", 'Input Sheet'!$F$25*0.9)</f>
        <v/>
      </c>
      <c r="C11" s="201"/>
      <c r="D11" s="201"/>
      <c r="E11" s="599"/>
      <c r="F11" s="599"/>
      <c r="G11" s="600"/>
      <c r="H11" s="600"/>
      <c r="I11" s="599"/>
      <c r="J11" s="599"/>
      <c r="K11" s="599"/>
      <c r="L11" s="599"/>
      <c r="M11" s="599"/>
      <c r="N11" s="599"/>
      <c r="O11" s="599"/>
      <c r="P11" s="619"/>
    </row>
    <row r="12" spans="1:16" s="90" customFormat="1" ht="20.100000000000001" customHeight="1" x14ac:dyDescent="0.2">
      <c r="A12" s="403"/>
      <c r="B12" s="403"/>
      <c r="C12" s="84"/>
      <c r="D12" s="84"/>
      <c r="E12" s="673"/>
      <c r="F12" s="673"/>
      <c r="G12" s="598"/>
      <c r="H12" s="598"/>
      <c r="I12" s="673"/>
      <c r="J12" s="673"/>
      <c r="K12" s="673"/>
      <c r="L12" s="673"/>
      <c r="M12" s="673"/>
      <c r="N12" s="673"/>
      <c r="O12" s="673"/>
      <c r="P12" s="545"/>
    </row>
    <row r="13" spans="1:16" s="90" customFormat="1" ht="30" customHeight="1" x14ac:dyDescent="0.2">
      <c r="A13" s="255" t="s">
        <v>209</v>
      </c>
      <c r="B13" s="426"/>
      <c r="C13" s="84"/>
      <c r="D13" s="84"/>
      <c r="E13" s="673"/>
      <c r="F13" s="673"/>
      <c r="G13" s="598"/>
      <c r="H13" s="598"/>
      <c r="I13" s="673"/>
      <c r="J13" s="673"/>
      <c r="K13" s="673"/>
      <c r="L13" s="673"/>
      <c r="M13" s="673"/>
      <c r="N13" s="673"/>
      <c r="O13" s="673"/>
      <c r="P13" s="545"/>
    </row>
    <row r="14" spans="1:16" s="192" customFormat="1" ht="20.100000000000001" customHeight="1" x14ac:dyDescent="0.2">
      <c r="A14" s="405" t="s">
        <v>210</v>
      </c>
      <c r="B14" s="411" t="str">
        <f>IF('Input Sheet'!F26="", "", 'Input Sheet'!F26)</f>
        <v/>
      </c>
      <c r="C14" s="201"/>
      <c r="D14" s="201"/>
      <c r="E14" s="599"/>
      <c r="F14" s="599"/>
      <c r="G14" s="600"/>
      <c r="H14" s="600"/>
      <c r="I14" s="599"/>
      <c r="J14" s="599"/>
      <c r="K14" s="599"/>
      <c r="L14" s="599"/>
      <c r="M14" s="599"/>
      <c r="N14" s="599"/>
      <c r="O14" s="599"/>
      <c r="P14" s="619"/>
    </row>
    <row r="15" spans="1:16" s="192" customFormat="1" ht="20.100000000000001" customHeight="1" x14ac:dyDescent="0.2">
      <c r="A15" s="412" t="s">
        <v>211</v>
      </c>
      <c r="B15" s="222" t="str">
        <f>IF(B14&lt;A5,B5,(IF(B14&lt;A6,B6,(IF(B14&lt;A7,B7,(IF(B14&lt;A8,B8,(IF(B14&lt;A9,B9,(IF(B14&lt;A10,B10,(IF(B14&lt;A11,B11,"")))))))))))))</f>
        <v/>
      </c>
      <c r="C15" s="201"/>
      <c r="D15" s="201"/>
      <c r="E15" s="599"/>
      <c r="F15" s="599"/>
      <c r="G15" s="600"/>
      <c r="H15" s="600"/>
      <c r="I15" s="599"/>
      <c r="J15" s="599"/>
      <c r="K15" s="599"/>
      <c r="L15" s="599"/>
      <c r="M15" s="599"/>
      <c r="N15" s="599"/>
      <c r="O15" s="599"/>
      <c r="P15" s="619"/>
    </row>
    <row r="16" spans="1:16" s="192" customFormat="1" ht="20.100000000000001" customHeight="1" x14ac:dyDescent="0.2">
      <c r="A16" s="412" t="s">
        <v>212</v>
      </c>
      <c r="B16" s="222" t="str">
        <f>IF('Input Sheet'!F27="", "", 'Input Sheet'!F27)</f>
        <v/>
      </c>
      <c r="C16" s="201"/>
      <c r="D16" s="201"/>
      <c r="E16" s="599"/>
      <c r="F16" s="599"/>
      <c r="G16" s="600"/>
      <c r="H16" s="600"/>
      <c r="I16" s="599"/>
      <c r="J16" s="599"/>
      <c r="K16" s="599"/>
      <c r="L16" s="599"/>
      <c r="M16" s="599"/>
      <c r="N16" s="599"/>
      <c r="O16" s="599"/>
      <c r="P16" s="619"/>
    </row>
    <row r="17" spans="1:16" s="192" customFormat="1" ht="20.100000000000001" customHeight="1" x14ac:dyDescent="0.2">
      <c r="A17" s="412" t="s">
        <v>104</v>
      </c>
      <c r="B17" s="222" t="str">
        <f>IF(B15="", "", B15-B16)</f>
        <v/>
      </c>
      <c r="C17" s="201"/>
      <c r="D17" s="201"/>
      <c r="E17" s="599"/>
      <c r="F17" s="599"/>
      <c r="G17" s="600"/>
      <c r="H17" s="600"/>
      <c r="I17" s="599"/>
      <c r="J17" s="599"/>
      <c r="K17" s="599"/>
      <c r="L17" s="599"/>
      <c r="M17" s="599"/>
      <c r="N17" s="599"/>
      <c r="O17" s="599"/>
      <c r="P17" s="619"/>
    </row>
    <row r="18" spans="1:16" s="192" customFormat="1" ht="20.100000000000001" customHeight="1" x14ac:dyDescent="0.2">
      <c r="A18" s="413" t="s">
        <v>213</v>
      </c>
      <c r="B18" s="414" t="str">
        <f>IF(B16="", "", (B17/B16))</f>
        <v/>
      </c>
      <c r="C18" s="201"/>
      <c r="D18" s="201"/>
      <c r="E18" s="599"/>
      <c r="F18" s="599"/>
      <c r="G18" s="600"/>
      <c r="H18" s="600"/>
      <c r="I18" s="599"/>
      <c r="J18" s="599"/>
      <c r="K18" s="599"/>
      <c r="L18" s="599"/>
      <c r="M18" s="599"/>
      <c r="N18" s="620"/>
      <c r="O18" s="620"/>
      <c r="P18" s="621"/>
    </row>
    <row r="19" spans="1:16" s="90" customFormat="1" ht="20.100000000000001" customHeight="1" x14ac:dyDescent="0.2">
      <c r="A19" s="84"/>
      <c r="B19" s="84"/>
      <c r="C19" s="84"/>
      <c r="D19" s="84"/>
      <c r="E19" s="673"/>
      <c r="F19" s="673"/>
      <c r="G19" s="673"/>
      <c r="H19" s="673"/>
      <c r="I19" s="673"/>
      <c r="J19" s="673"/>
      <c r="K19" s="673"/>
      <c r="L19" s="673"/>
      <c r="M19" s="545"/>
      <c r="N19" s="623" t="s">
        <v>214</v>
      </c>
      <c r="O19" s="623" t="s">
        <v>215</v>
      </c>
      <c r="P19" s="623" t="s">
        <v>216</v>
      </c>
    </row>
    <row r="20" spans="1:16" s="90" customFormat="1" ht="35.1" customHeight="1" x14ac:dyDescent="0.2">
      <c r="A20" s="278" t="s">
        <v>217</v>
      </c>
      <c r="B20" s="299"/>
      <c r="C20" s="299"/>
      <c r="D20" s="280"/>
      <c r="E20" s="571"/>
      <c r="F20" s="571"/>
      <c r="G20" s="571"/>
      <c r="H20" s="571"/>
      <c r="I20" s="571"/>
      <c r="J20" s="572"/>
      <c r="K20" s="673"/>
      <c r="L20" s="673"/>
      <c r="M20" s="545"/>
      <c r="N20" s="88">
        <v>0</v>
      </c>
      <c r="O20" s="88">
        <v>0</v>
      </c>
      <c r="P20" s="88">
        <v>0</v>
      </c>
    </row>
    <row r="21" spans="1:16" s="84" customFormat="1" ht="20.100000000000001" customHeight="1" x14ac:dyDescent="0.2">
      <c r="A21" s="357"/>
      <c r="B21" s="304"/>
      <c r="C21" s="304"/>
      <c r="D21" s="304"/>
      <c r="E21" s="602"/>
      <c r="F21" s="602"/>
      <c r="G21" s="602"/>
      <c r="H21" s="602"/>
      <c r="I21" s="602"/>
      <c r="J21" s="603"/>
      <c r="K21" s="597"/>
      <c r="L21" s="597"/>
      <c r="M21" s="618"/>
      <c r="N21" s="82"/>
      <c r="O21" s="82"/>
      <c r="P21" s="82"/>
    </row>
    <row r="22" spans="1:16" s="422" customFormat="1" ht="39.950000000000003" customHeight="1" x14ac:dyDescent="0.2">
      <c r="A22" s="713" t="s">
        <v>218</v>
      </c>
      <c r="B22" s="714"/>
      <c r="C22" s="421"/>
      <c r="D22" s="421"/>
      <c r="E22" s="604"/>
      <c r="F22" s="604"/>
      <c r="G22" s="604"/>
      <c r="H22" s="604"/>
      <c r="I22" s="604"/>
      <c r="J22" s="605"/>
      <c r="K22" s="605"/>
      <c r="L22" s="605"/>
      <c r="M22" s="622"/>
      <c r="N22" s="624">
        <v>5</v>
      </c>
      <c r="O22" s="624">
        <v>2.5</v>
      </c>
      <c r="P22" s="624">
        <v>0.8</v>
      </c>
    </row>
    <row r="23" spans="1:16" s="192" customFormat="1" ht="20.100000000000001" customHeight="1" x14ac:dyDescent="0.2">
      <c r="A23" s="159" t="s">
        <v>219</v>
      </c>
      <c r="B23" s="629" t="str">
        <f>IF(B18="","",IF(B18*100&lt;=N20,O20,(IF(AND(B18*100&lt;=N22,B18*100&gt;N20),O22,IF(AND(B18*100&gt;N22,B18*100&lt;=N23),O23,IF(AND(B18*100&gt;N23,B18*100&lt;=N24),O24,IF(AND(B18*100&gt;N24,B18*100&lt;=N25),O25,IF(AND(B18*100&gt;N25,B18*100&lt;=N26),O26,IF(B18*100&gt;N26,O26,""))))))))/100)</f>
        <v/>
      </c>
      <c r="C23" s="201" t="s">
        <v>121</v>
      </c>
      <c r="D23" s="201"/>
      <c r="E23" s="599"/>
      <c r="F23" s="599"/>
      <c r="G23" s="599"/>
      <c r="H23" s="599"/>
      <c r="I23" s="599"/>
      <c r="J23" s="601"/>
      <c r="K23" s="599"/>
      <c r="L23" s="599"/>
      <c r="M23" s="619"/>
      <c r="N23" s="519">
        <v>10</v>
      </c>
      <c r="O23" s="519">
        <v>5</v>
      </c>
      <c r="P23" s="519">
        <v>1.6</v>
      </c>
    </row>
    <row r="24" spans="1:16" s="192" customFormat="1" ht="20.100000000000001" customHeight="1" x14ac:dyDescent="0.2">
      <c r="A24" s="138" t="s">
        <v>220</v>
      </c>
      <c r="B24" s="630" t="str">
        <f>IF(B18="","",IF(B18*100&lt;=N20,P20,IF(AND(B18*100&gt;N20,B18*100&lt;=N22),P22,IF(AND(B18*100&gt;N22,B18*100&lt;=N23),P23,IF(AND(B18*100&gt;N23,B18*100&lt;=N24),P24,IF(AND(B18*100&gt;N24,B18*100&lt;=N25),P25,IF(AND(B18*100&gt;N25,B18*100&lt;=N26),P26,IF(B18*100&gt;N26,P26)))))))/100)</f>
        <v/>
      </c>
      <c r="C24" s="201"/>
      <c r="D24" s="200"/>
      <c r="E24" s="606"/>
      <c r="F24" s="599"/>
      <c r="G24" s="599"/>
      <c r="H24" s="599"/>
      <c r="I24" s="599"/>
      <c r="J24" s="607"/>
      <c r="K24" s="599"/>
      <c r="L24" s="599"/>
      <c r="M24" s="619"/>
      <c r="N24" s="519">
        <v>15</v>
      </c>
      <c r="O24" s="519">
        <v>8</v>
      </c>
      <c r="P24" s="519">
        <v>2.4</v>
      </c>
    </row>
    <row r="25" spans="1:16" s="192" customFormat="1" ht="20.100000000000001" customHeight="1" x14ac:dyDescent="0.2">
      <c r="A25" s="139" t="s">
        <v>221</v>
      </c>
      <c r="B25" s="631" t="str">
        <f>IF(B18="","",IF(B18&lt;0,"0",IF('Input Sheet'!B17="F",(0.0093*((B18*100)^2))+(0.7064*(B18*100)),(IF('Input Sheet'!B17="J",(0.0318*((B18*100)^2)+(0.6076*(B18*100))),(IF('Input Sheet'!B17="X",(0.0148*((B18*100)^2))+(0.6598*(B18*100)),"0")))))))</f>
        <v/>
      </c>
      <c r="C25" s="201"/>
      <c r="D25" s="201"/>
      <c r="E25" s="599"/>
      <c r="F25" s="599"/>
      <c r="G25" s="599"/>
      <c r="H25" s="599"/>
      <c r="I25" s="599"/>
      <c r="J25" s="607"/>
      <c r="K25" s="599"/>
      <c r="L25" s="599"/>
      <c r="M25" s="619"/>
      <c r="N25" s="519">
        <v>20</v>
      </c>
      <c r="O25" s="519">
        <v>13</v>
      </c>
      <c r="P25" s="519">
        <v>4</v>
      </c>
    </row>
    <row r="26" spans="1:16" s="90" customFormat="1" ht="20.100000000000001" customHeight="1" x14ac:dyDescent="0.2">
      <c r="A26" s="47"/>
      <c r="B26" s="84"/>
      <c r="C26" s="84"/>
      <c r="D26" s="84"/>
      <c r="E26" s="673"/>
      <c r="F26" s="673"/>
      <c r="G26" s="673"/>
      <c r="H26" s="673"/>
      <c r="I26" s="673"/>
      <c r="J26" s="673"/>
      <c r="K26" s="673"/>
      <c r="L26" s="673"/>
      <c r="M26" s="545"/>
      <c r="N26" s="88">
        <v>25</v>
      </c>
      <c r="O26" s="88">
        <v>18</v>
      </c>
      <c r="P26" s="88">
        <v>5.6</v>
      </c>
    </row>
    <row r="27" spans="1:16" s="617" customFormat="1" ht="39.950000000000003" customHeight="1" x14ac:dyDescent="0.2">
      <c r="A27" s="713" t="s">
        <v>222</v>
      </c>
      <c r="B27" s="714"/>
      <c r="C27" s="421"/>
      <c r="D27" s="421"/>
      <c r="E27" s="604"/>
      <c r="F27" s="604"/>
      <c r="G27" s="604"/>
      <c r="H27" s="604"/>
      <c r="I27" s="604"/>
      <c r="J27" s="605"/>
      <c r="K27" s="605"/>
      <c r="L27" s="605"/>
      <c r="M27" s="605"/>
    </row>
    <row r="28" spans="1:16" s="599" customFormat="1" ht="20.100000000000001" customHeight="1" x14ac:dyDescent="0.2">
      <c r="A28" s="159" t="s">
        <v>223</v>
      </c>
      <c r="B28" s="415" t="str">
        <f>IF(B23="","",(B23*'Input Sheet'!I6*'Input Sheet'!B7)*100)</f>
        <v/>
      </c>
      <c r="C28" s="201"/>
      <c r="D28" s="201"/>
      <c r="E28" s="608"/>
      <c r="G28" s="608"/>
      <c r="H28" s="601"/>
    </row>
    <row r="29" spans="1:16" s="599" customFormat="1" ht="20.100000000000001" customHeight="1" x14ac:dyDescent="0.2">
      <c r="A29" s="138" t="s">
        <v>224</v>
      </c>
      <c r="B29" s="416" t="str">
        <f>IF(B24="","",(B24*10*'Input Sheet'!B7)*100)</f>
        <v/>
      </c>
      <c r="C29" s="201"/>
      <c r="D29" s="201"/>
      <c r="E29" s="593"/>
    </row>
    <row r="30" spans="1:16" s="599" customFormat="1" ht="20.100000000000001" customHeight="1" x14ac:dyDescent="0.2">
      <c r="A30" s="138" t="s">
        <v>225</v>
      </c>
      <c r="B30" s="416" t="str">
        <f>IF(B25="","",(B25*'Input Sheet'!B16*'Input Sheet'!B7))</f>
        <v/>
      </c>
      <c r="C30" s="201"/>
      <c r="D30" s="201"/>
      <c r="E30" s="608"/>
      <c r="G30" s="608"/>
      <c r="H30" s="601"/>
    </row>
    <row r="31" spans="1:16" s="599" customFormat="1" ht="20.100000000000001" customHeight="1" x14ac:dyDescent="0.2">
      <c r="A31" s="223" t="s">
        <v>226</v>
      </c>
      <c r="B31" s="417" t="str">
        <f>IF(AND(B28="", B29="", B30=""),"",SUM(B28:B30))</f>
        <v/>
      </c>
      <c r="C31" s="201"/>
      <c r="D31" s="201"/>
      <c r="E31" s="593"/>
    </row>
    <row r="32" spans="1:16" ht="20.100000000000001" customHeight="1" x14ac:dyDescent="0.2">
      <c r="A32" s="47"/>
      <c r="B32" s="84"/>
      <c r="C32" s="84"/>
      <c r="D32" s="84"/>
      <c r="E32" s="673"/>
      <c r="F32" s="673"/>
      <c r="G32" s="673"/>
      <c r="H32" s="673"/>
      <c r="I32" s="673"/>
      <c r="J32" s="673"/>
      <c r="K32" s="673"/>
      <c r="L32" s="673"/>
      <c r="M32" s="673"/>
      <c r="N32" s="673"/>
      <c r="O32" s="673"/>
      <c r="P32" s="673"/>
    </row>
    <row r="33" spans="1:9" ht="38.25" customHeight="1" x14ac:dyDescent="0.2">
      <c r="A33" s="712" t="s">
        <v>227</v>
      </c>
      <c r="B33" s="712"/>
      <c r="C33" s="712"/>
      <c r="D33" s="280"/>
      <c r="E33" s="571"/>
      <c r="F33" s="571"/>
      <c r="G33" s="571"/>
      <c r="H33" s="571"/>
      <c r="I33" s="571"/>
    </row>
    <row r="34" spans="1:9" ht="20.100000000000001" customHeight="1" x14ac:dyDescent="0.2">
      <c r="A34" s="47"/>
      <c r="B34" s="84"/>
      <c r="C34" s="84"/>
      <c r="D34" s="84"/>
      <c r="E34" s="673"/>
      <c r="F34" s="673"/>
      <c r="G34" s="673"/>
      <c r="H34" s="673"/>
      <c r="I34" s="673"/>
    </row>
    <row r="35" spans="1:9" ht="30" customHeight="1" x14ac:dyDescent="0.2">
      <c r="A35" s="255" t="s">
        <v>129</v>
      </c>
      <c r="B35" s="372"/>
      <c r="C35" s="236"/>
      <c r="D35" s="236"/>
      <c r="E35" s="583"/>
      <c r="F35" s="583"/>
      <c r="G35" s="583"/>
      <c r="H35" s="583"/>
      <c r="I35" s="583"/>
    </row>
    <row r="36" spans="1:9" s="599" customFormat="1" ht="20.100000000000001" customHeight="1" x14ac:dyDescent="0.2">
      <c r="A36" s="159" t="s">
        <v>107</v>
      </c>
      <c r="B36" s="418" t="str">
        <f>IF(B23="","",(B23*'Input Sheet'!F28))</f>
        <v/>
      </c>
      <c r="C36" s="201"/>
      <c r="D36" s="201"/>
    </row>
    <row r="37" spans="1:9" s="599" customFormat="1" ht="20.100000000000001" customHeight="1" x14ac:dyDescent="0.2">
      <c r="A37" s="139" t="s">
        <v>108</v>
      </c>
      <c r="B37" s="219" t="str">
        <f>IF(B36="","",((B36*'Input Sheet'!I6*'Input Sheet'!B5)*100))</f>
        <v/>
      </c>
      <c r="C37" s="206"/>
      <c r="D37" s="201"/>
      <c r="E37" s="593"/>
      <c r="H37" s="601"/>
      <c r="I37" s="609"/>
    </row>
    <row r="38" spans="1:9" ht="20.100000000000001" customHeight="1" x14ac:dyDescent="0.2">
      <c r="A38" s="291"/>
      <c r="B38" s="239"/>
      <c r="C38" s="239"/>
      <c r="D38" s="239"/>
      <c r="E38" s="581"/>
      <c r="F38" s="581"/>
      <c r="G38" s="581"/>
      <c r="H38" s="581"/>
      <c r="I38" s="581"/>
    </row>
    <row r="39" spans="1:9" ht="30" customHeight="1" x14ac:dyDescent="0.2">
      <c r="A39" s="255" t="s">
        <v>109</v>
      </c>
      <c r="B39" s="373"/>
      <c r="C39" s="84"/>
      <c r="D39" s="84"/>
      <c r="E39" s="673"/>
      <c r="F39" s="673"/>
      <c r="G39" s="673"/>
      <c r="H39" s="673"/>
      <c r="I39" s="673"/>
    </row>
    <row r="40" spans="1:9" s="599" customFormat="1" ht="20.100000000000001" customHeight="1" x14ac:dyDescent="0.2">
      <c r="A40" s="159" t="s">
        <v>110</v>
      </c>
      <c r="B40" s="418" t="str">
        <f>IF(B24="","",(B24*'Input Sheet'!F28))</f>
        <v/>
      </c>
      <c r="C40" s="204"/>
      <c r="D40" s="204"/>
      <c r="E40" s="610"/>
      <c r="F40" s="610"/>
      <c r="G40" s="610"/>
      <c r="H40" s="610"/>
      <c r="I40" s="610"/>
    </row>
    <row r="41" spans="1:9" s="599" customFormat="1" ht="20.100000000000001" customHeight="1" x14ac:dyDescent="0.2">
      <c r="A41" s="139" t="s">
        <v>108</v>
      </c>
      <c r="B41" s="219" t="str">
        <f>IF(B40="","",((B40*10*'Input Sheet'!B5)*100))</f>
        <v/>
      </c>
      <c r="C41" s="201"/>
      <c r="D41" s="201"/>
    </row>
    <row r="42" spans="1:9" ht="20.100000000000001" customHeight="1" x14ac:dyDescent="0.2">
      <c r="A42" s="292"/>
      <c r="B42" s="84"/>
      <c r="C42" s="404"/>
      <c r="D42" s="84"/>
      <c r="E42" s="611"/>
      <c r="F42" s="673"/>
      <c r="G42" s="673"/>
      <c r="H42" s="612"/>
      <c r="I42" s="613"/>
    </row>
    <row r="43" spans="1:9" ht="30" customHeight="1" x14ac:dyDescent="0.2">
      <c r="A43" s="255" t="s">
        <v>228</v>
      </c>
      <c r="B43" s="427"/>
      <c r="C43" s="316"/>
      <c r="D43" s="239"/>
      <c r="E43" s="581"/>
      <c r="F43" s="581"/>
      <c r="G43" s="581"/>
      <c r="H43" s="581"/>
      <c r="I43" s="581"/>
    </row>
    <row r="44" spans="1:9" s="599" customFormat="1" ht="20.100000000000001" customHeight="1" x14ac:dyDescent="0.2">
      <c r="A44" s="159" t="s">
        <v>229</v>
      </c>
      <c r="B44" s="419" t="str">
        <f>IF(B25="","",(B25*'Input Sheet'!F28))</f>
        <v/>
      </c>
      <c r="C44" s="201"/>
      <c r="D44" s="201"/>
    </row>
    <row r="45" spans="1:9" s="599" customFormat="1" ht="20.100000000000001" customHeight="1" x14ac:dyDescent="0.2">
      <c r="A45" s="139" t="s">
        <v>108</v>
      </c>
      <c r="B45" s="219" t="str">
        <f>IF(B44="","",(B44/100*'Input Sheet'!B16*'Input Sheet'!B5))</f>
        <v/>
      </c>
      <c r="C45" s="204"/>
      <c r="D45" s="204"/>
      <c r="E45" s="610"/>
      <c r="F45" s="610"/>
      <c r="G45" s="610"/>
      <c r="H45" s="610"/>
      <c r="I45" s="610"/>
    </row>
    <row r="46" spans="1:9" ht="20.100000000000001" customHeight="1" x14ac:dyDescent="0.2">
      <c r="A46" s="292"/>
      <c r="B46" s="84"/>
      <c r="C46" s="84"/>
      <c r="D46" s="84"/>
      <c r="E46" s="673"/>
      <c r="F46" s="673"/>
      <c r="G46" s="673"/>
      <c r="H46" s="673"/>
      <c r="I46" s="673"/>
    </row>
    <row r="47" spans="1:9" ht="38.25" customHeight="1" x14ac:dyDescent="0.2">
      <c r="A47" s="420" t="s">
        <v>111</v>
      </c>
      <c r="B47" s="366" t="str">
        <f>IF(AND((B37=""), (B41=""), (B45="")), "", (B37+B41+B45))</f>
        <v/>
      </c>
      <c r="C47" s="502" t="str">
        <f>IF(B47="", "Well Done! You do not have a gap in this area.", "")</f>
        <v>Well Done! You do not have a gap in this area.</v>
      </c>
      <c r="D47" s="365"/>
      <c r="E47" s="614"/>
      <c r="F47" s="615"/>
      <c r="G47" s="590"/>
      <c r="H47" s="673"/>
      <c r="I47" s="613"/>
    </row>
    <row r="48" spans="1:9" ht="20.100000000000001" customHeight="1" x14ac:dyDescent="0.2">
      <c r="A48" s="84"/>
      <c r="B48" s="84"/>
      <c r="C48" s="84"/>
      <c r="D48" s="84"/>
      <c r="E48" s="673"/>
      <c r="F48" s="673"/>
      <c r="G48" s="673"/>
      <c r="H48" s="673"/>
      <c r="I48" s="673"/>
    </row>
    <row r="49" spans="1:5" ht="20.100000000000001" customHeight="1" x14ac:dyDescent="0.2">
      <c r="A49" s="84"/>
      <c r="B49" s="84"/>
      <c r="C49" s="84"/>
      <c r="D49" s="84"/>
      <c r="E49" s="673"/>
    </row>
    <row r="50" spans="1:5" x14ac:dyDescent="0.2">
      <c r="A50" s="396"/>
      <c r="B50" s="396"/>
      <c r="C50" s="396"/>
      <c r="D50" s="396"/>
      <c r="E50" s="616"/>
    </row>
    <row r="51" spans="1:5" x14ac:dyDescent="0.2">
      <c r="A51" s="396"/>
      <c r="B51" s="396"/>
      <c r="C51" s="396"/>
      <c r="D51" s="396"/>
      <c r="E51" s="616"/>
    </row>
    <row r="52" spans="1:5" x14ac:dyDescent="0.2">
      <c r="A52" s="396"/>
      <c r="B52" s="396"/>
      <c r="C52" s="396"/>
      <c r="D52" s="396"/>
      <c r="E52" s="616"/>
    </row>
    <row r="53" spans="1:5" x14ac:dyDescent="0.2">
      <c r="A53" s="396"/>
      <c r="B53" s="396"/>
      <c r="C53" s="396"/>
      <c r="D53" s="396"/>
      <c r="E53" s="616"/>
    </row>
  </sheetData>
  <sheetProtection sheet="1" objects="1" scenarios="1" selectLockedCells="1"/>
  <mergeCells count="3">
    <mergeCell ref="A33:C33"/>
    <mergeCell ref="A27:B27"/>
    <mergeCell ref="A22:B22"/>
  </mergeCells>
  <printOptions horizontalCentered="1"/>
  <pageMargins left="0.5" right="0.5" top="0.5" bottom="0.5" header="0.5" footer="0.5"/>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29"/>
  <sheetViews>
    <sheetView topLeftCell="A16" zoomScaleNormal="100" workbookViewId="0">
      <selection activeCell="B7" sqref="B7"/>
    </sheetView>
  </sheetViews>
  <sheetFormatPr defaultColWidth="0" defaultRowHeight="14.25" zeroHeight="1" x14ac:dyDescent="0.2"/>
  <cols>
    <col min="1" max="1" width="21.75" style="434" customWidth="1"/>
    <col min="2" max="2" width="63.875" style="29" customWidth="1"/>
    <col min="3" max="3" width="0" hidden="1" customWidth="1"/>
    <col min="4" max="16384" width="9" hidden="1"/>
  </cols>
  <sheetData>
    <row r="1" spans="1:3" ht="60" customHeight="1" x14ac:dyDescent="0.2">
      <c r="A1" s="459" t="s">
        <v>230</v>
      </c>
      <c r="B1" s="30"/>
    </row>
    <row r="2" spans="1:3" ht="14.25" customHeight="1" x14ac:dyDescent="0.2">
      <c r="A2" s="458"/>
      <c r="B2" s="439"/>
      <c r="C2" s="80"/>
    </row>
    <row r="3" spans="1:3" ht="42.75" x14ac:dyDescent="0.2">
      <c r="A3" s="436" t="s">
        <v>231</v>
      </c>
      <c r="B3" s="438" t="s">
        <v>232</v>
      </c>
    </row>
    <row r="4" spans="1:3" ht="25.5" x14ac:dyDescent="0.2">
      <c r="A4" s="431" t="s">
        <v>233</v>
      </c>
      <c r="B4" s="430" t="s">
        <v>234</v>
      </c>
    </row>
    <row r="5" spans="1:3" ht="89.25" x14ac:dyDescent="0.2">
      <c r="A5" s="436" t="s">
        <v>235</v>
      </c>
      <c r="B5" s="437" t="s">
        <v>236</v>
      </c>
    </row>
    <row r="6" spans="1:3" ht="51" x14ac:dyDescent="0.2">
      <c r="A6" s="431" t="s">
        <v>237</v>
      </c>
      <c r="B6" s="430" t="s">
        <v>238</v>
      </c>
    </row>
    <row r="7" spans="1:3" ht="38.25" x14ac:dyDescent="0.2">
      <c r="A7" s="436" t="s">
        <v>239</v>
      </c>
      <c r="B7" s="437" t="s">
        <v>240</v>
      </c>
    </row>
    <row r="8" spans="1:3" ht="38.25" x14ac:dyDescent="0.2">
      <c r="A8" s="431" t="s">
        <v>241</v>
      </c>
      <c r="B8" s="430" t="s">
        <v>242</v>
      </c>
    </row>
    <row r="9" spans="1:3" ht="25.5" x14ac:dyDescent="0.2">
      <c r="A9" s="436" t="s">
        <v>243</v>
      </c>
      <c r="B9" s="437" t="s">
        <v>244</v>
      </c>
    </row>
    <row r="10" spans="1:3" ht="25.5" x14ac:dyDescent="0.2">
      <c r="A10" s="431" t="s">
        <v>245</v>
      </c>
      <c r="B10" s="430" t="s">
        <v>246</v>
      </c>
    </row>
    <row r="11" spans="1:3" ht="25.5" x14ac:dyDescent="0.2">
      <c r="A11" s="436" t="s">
        <v>247</v>
      </c>
      <c r="B11" s="437" t="s">
        <v>248</v>
      </c>
    </row>
    <row r="12" spans="1:3" ht="28.5" x14ac:dyDescent="0.2">
      <c r="A12" s="431" t="s">
        <v>249</v>
      </c>
      <c r="B12" s="430" t="s">
        <v>250</v>
      </c>
    </row>
    <row r="13" spans="1:3" ht="42.75" x14ac:dyDescent="0.2">
      <c r="A13" s="436" t="s">
        <v>251</v>
      </c>
      <c r="B13" s="437" t="s">
        <v>252</v>
      </c>
    </row>
    <row r="14" spans="1:3" ht="38.25" x14ac:dyDescent="0.2">
      <c r="A14" s="431" t="s">
        <v>253</v>
      </c>
      <c r="B14" s="430" t="s">
        <v>254</v>
      </c>
    </row>
    <row r="15" spans="1:3" ht="51" x14ac:dyDescent="0.2">
      <c r="A15" s="436" t="s">
        <v>255</v>
      </c>
      <c r="B15" s="437" t="s">
        <v>256</v>
      </c>
    </row>
    <row r="16" spans="1:3" ht="38.25" x14ac:dyDescent="0.2">
      <c r="A16" s="431" t="s">
        <v>257</v>
      </c>
      <c r="B16" s="435" t="s">
        <v>258</v>
      </c>
    </row>
    <row r="17" spans="1:2" ht="28.5" x14ac:dyDescent="0.2">
      <c r="A17" s="436" t="s">
        <v>259</v>
      </c>
      <c r="B17" s="437" t="s">
        <v>260</v>
      </c>
    </row>
    <row r="18" spans="1:2" ht="28.5" x14ac:dyDescent="0.2">
      <c r="A18" s="431" t="s">
        <v>261</v>
      </c>
      <c r="B18" s="430" t="s">
        <v>262</v>
      </c>
    </row>
    <row r="19" spans="1:2" x14ac:dyDescent="0.2">
      <c r="A19" s="436" t="s">
        <v>263</v>
      </c>
      <c r="B19" s="437" t="s">
        <v>264</v>
      </c>
    </row>
    <row r="20" spans="1:2" ht="25.5" x14ac:dyDescent="0.2">
      <c r="A20" s="431" t="s">
        <v>265</v>
      </c>
      <c r="B20" s="430" t="s">
        <v>266</v>
      </c>
    </row>
    <row r="21" spans="1:2" x14ac:dyDescent="0.2">
      <c r="A21" s="432"/>
      <c r="B21" s="429"/>
    </row>
    <row r="22" spans="1:2" x14ac:dyDescent="0.2">
      <c r="A22" s="432"/>
      <c r="B22" s="429"/>
    </row>
    <row r="23" spans="1:2" x14ac:dyDescent="0.2">
      <c r="A23" s="432"/>
      <c r="B23" s="429"/>
    </row>
    <row r="24" spans="1:2" x14ac:dyDescent="0.2">
      <c r="A24" s="432"/>
      <c r="B24" s="429"/>
    </row>
    <row r="25" spans="1:2" x14ac:dyDescent="0.2">
      <c r="A25" s="433"/>
      <c r="B25" s="428"/>
    </row>
    <row r="26" spans="1:2" x14ac:dyDescent="0.2">
      <c r="A26" s="433"/>
      <c r="B26" s="428"/>
    </row>
    <row r="27" spans="1:2" x14ac:dyDescent="0.2">
      <c r="A27" s="433"/>
      <c r="B27" s="428"/>
    </row>
    <row r="28" spans="1:2" x14ac:dyDescent="0.2">
      <c r="A28" s="433"/>
      <c r="B28" s="428"/>
    </row>
    <row r="29" spans="1:2" ht="15.75" hidden="1" customHeight="1" x14ac:dyDescent="0.2"/>
  </sheetData>
  <sheetProtection sheet="1" objects="1" scenarios="1" selectLockedCells="1"/>
  <printOptions horizontalCentered="1"/>
  <pageMargins left="0.5" right="0.5" top="0.5" bottom="0.5" header="0.5" footer="0.5"/>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0"/>
  <sheetViews>
    <sheetView topLeftCell="A7" zoomScaleNormal="100" workbookViewId="0">
      <selection activeCell="A19" sqref="A19"/>
    </sheetView>
  </sheetViews>
  <sheetFormatPr defaultColWidth="0" defaultRowHeight="14.25" zeroHeight="1" x14ac:dyDescent="0.2"/>
  <cols>
    <col min="1" max="1" width="97" style="80" customWidth="1"/>
    <col min="2" max="2" width="3.375" style="80" customWidth="1"/>
    <col min="3" max="17" width="0" style="80" hidden="1" customWidth="1"/>
    <col min="18" max="16384" width="9" style="80" hidden="1"/>
  </cols>
  <sheetData>
    <row r="1" spans="1:17" customFormat="1" ht="60" customHeight="1" x14ac:dyDescent="0.2">
      <c r="A1" s="39" t="s">
        <v>2</v>
      </c>
      <c r="B1" s="30"/>
    </row>
    <row r="2" spans="1:17" s="42" customFormat="1" ht="30" customHeight="1" x14ac:dyDescent="0.2">
      <c r="A2" s="45" t="s">
        <v>3</v>
      </c>
      <c r="B2" s="44"/>
      <c r="G2" s="43"/>
      <c r="H2" s="43"/>
      <c r="I2" s="43"/>
      <c r="J2" s="43"/>
      <c r="K2" s="43"/>
      <c r="L2" s="43"/>
      <c r="M2" s="43"/>
      <c r="N2" s="43"/>
      <c r="O2" s="43"/>
      <c r="P2" s="43"/>
      <c r="Q2" s="43"/>
    </row>
    <row r="3" spans="1:17" customFormat="1" ht="120" customHeight="1" x14ac:dyDescent="0.2">
      <c r="A3" s="48" t="s">
        <v>4</v>
      </c>
      <c r="B3" s="49"/>
      <c r="G3" s="26"/>
      <c r="H3" s="26"/>
      <c r="I3" s="26"/>
      <c r="J3" s="26"/>
      <c r="K3" s="26"/>
      <c r="L3" s="26"/>
      <c r="M3" s="26"/>
      <c r="N3" s="26"/>
      <c r="O3" s="26"/>
      <c r="P3" s="26"/>
    </row>
    <row r="4" spans="1:17" customFormat="1" ht="28.5" x14ac:dyDescent="0.2">
      <c r="A4" s="50" t="s">
        <v>5</v>
      </c>
      <c r="B4" s="51"/>
      <c r="C4" s="28"/>
      <c r="G4" s="27"/>
    </row>
    <row r="5" spans="1:17" customFormat="1" ht="30" x14ac:dyDescent="0.2">
      <c r="A5" s="52" t="s">
        <v>6</v>
      </c>
      <c r="B5" s="53"/>
      <c r="C5" s="28"/>
      <c r="G5" s="27"/>
    </row>
    <row r="6" spans="1:17" s="42" customFormat="1" ht="30" customHeight="1" x14ac:dyDescent="0.2">
      <c r="A6" s="46" t="s">
        <v>7</v>
      </c>
      <c r="B6" s="41"/>
      <c r="G6" s="43"/>
      <c r="H6" s="43"/>
      <c r="I6" s="43"/>
      <c r="J6" s="43"/>
      <c r="K6" s="43"/>
      <c r="L6" s="43"/>
      <c r="M6" s="43"/>
      <c r="N6" s="43"/>
      <c r="O6" s="43"/>
      <c r="P6" s="43"/>
    </row>
    <row r="7" spans="1:17" customFormat="1" ht="30" x14ac:dyDescent="0.25">
      <c r="A7" s="54" t="s">
        <v>8</v>
      </c>
      <c r="B7" s="55"/>
    </row>
    <row r="8" spans="1:17" customFormat="1" ht="128.25" x14ac:dyDescent="0.2">
      <c r="A8" s="56" t="s">
        <v>9</v>
      </c>
      <c r="B8" s="57"/>
    </row>
    <row r="9" spans="1:17" customFormat="1" ht="45" x14ac:dyDescent="0.25">
      <c r="A9" s="54" t="s">
        <v>10</v>
      </c>
      <c r="B9" s="55"/>
    </row>
    <row r="10" spans="1:17" customFormat="1" ht="114.75" x14ac:dyDescent="0.2">
      <c r="A10" s="58" t="s">
        <v>11</v>
      </c>
      <c r="B10" s="59"/>
    </row>
    <row r="11" spans="1:17" customFormat="1" ht="30" x14ac:dyDescent="0.25">
      <c r="A11" s="54" t="s">
        <v>12</v>
      </c>
      <c r="B11" s="55"/>
    </row>
    <row r="12" spans="1:17" customFormat="1" x14ac:dyDescent="0.2">
      <c r="A12" s="60"/>
      <c r="B12" s="59"/>
    </row>
    <row r="13" spans="1:17" customFormat="1" ht="15" x14ac:dyDescent="0.25">
      <c r="A13" s="61"/>
      <c r="B13" s="55"/>
    </row>
    <row r="14" spans="1:17" customFormat="1" x14ac:dyDescent="0.2">
      <c r="A14" s="40"/>
      <c r="B14" s="31"/>
    </row>
    <row r="15" spans="1:17" customFormat="1" x14ac:dyDescent="0.2">
      <c r="A15" s="47"/>
      <c r="B15" s="31"/>
    </row>
    <row r="16" spans="1:17" customFormat="1" x14ac:dyDescent="0.2">
      <c r="A16" s="47"/>
      <c r="B16" s="31"/>
    </row>
    <row r="17" spans="1:2" customFormat="1" x14ac:dyDescent="0.2">
      <c r="A17" s="31"/>
      <c r="B17" s="31"/>
    </row>
    <row r="18" spans="1:2" customFormat="1" x14ac:dyDescent="0.2">
      <c r="A18" s="31"/>
      <c r="B18" s="31"/>
    </row>
    <row r="19" spans="1:2" customFormat="1" x14ac:dyDescent="0.2">
      <c r="A19" s="31"/>
      <c r="B19" s="31"/>
    </row>
    <row r="20" spans="1:2" customFormat="1" x14ac:dyDescent="0.2">
      <c r="A20" s="31"/>
      <c r="B20" s="31"/>
    </row>
    <row r="21" spans="1:2" customFormat="1" x14ac:dyDescent="0.2">
      <c r="A21" s="31"/>
      <c r="B21" s="31"/>
    </row>
    <row r="22" spans="1:2" customFormat="1" x14ac:dyDescent="0.2">
      <c r="A22" s="665" t="s">
        <v>13</v>
      </c>
      <c r="B22" s="31"/>
    </row>
    <row r="23" spans="1:2" customFormat="1" x14ac:dyDescent="0.2">
      <c r="A23" s="31"/>
      <c r="B23" s="31"/>
    </row>
    <row r="24" spans="1:2" customFormat="1" x14ac:dyDescent="0.2">
      <c r="A24" s="31"/>
      <c r="B24" s="31"/>
    </row>
    <row r="25" spans="1:2" customFormat="1" x14ac:dyDescent="0.2">
      <c r="A25" s="31"/>
      <c r="B25" s="31"/>
    </row>
    <row r="26" spans="1:2" customFormat="1" x14ac:dyDescent="0.2">
      <c r="A26" s="31"/>
      <c r="B26" s="31"/>
    </row>
    <row r="27" spans="1:2" customFormat="1" x14ac:dyDescent="0.2">
      <c r="A27" s="36"/>
      <c r="B27" s="36"/>
    </row>
    <row r="28" spans="1:2" customFormat="1" x14ac:dyDescent="0.2">
      <c r="A28" s="36"/>
      <c r="B28" s="36"/>
    </row>
    <row r="29" spans="1:2" customFormat="1" x14ac:dyDescent="0.2">
      <c r="A29" s="36"/>
      <c r="B29" s="36"/>
    </row>
    <row r="30" spans="1:2" customFormat="1" x14ac:dyDescent="0.2">
      <c r="A30" s="36"/>
      <c r="B30" s="36"/>
    </row>
  </sheetData>
  <sheetProtection sheet="1" objects="1" scenarios="1" selectLockedCells="1"/>
  <hyperlinks>
    <hyperlink ref="A4:B4" r:id="rId1" display="Click Here to view the Herd Assessment Pack PDF Tools" xr:uid="{00000000-0004-0000-0100-000000000000}"/>
  </hyperlinks>
  <printOptions horizontalCentered="1"/>
  <pageMargins left="0.5" right="0.5" top="0.5" bottom="0.5" header="0.5" footer="0.5"/>
  <pageSetup paperSize="9" scale="85"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4"/>
  <sheetViews>
    <sheetView zoomScale="80" zoomScaleNormal="80" workbookViewId="0">
      <selection activeCell="F28" sqref="F28"/>
    </sheetView>
  </sheetViews>
  <sheetFormatPr defaultColWidth="0" defaultRowHeight="14.25" zeroHeight="1" x14ac:dyDescent="0.2"/>
  <cols>
    <col min="1" max="1" width="47.5" style="99" customWidth="1"/>
    <col min="2" max="2" width="18.625" style="68" customWidth="1"/>
    <col min="3" max="4" width="3.125" style="64" customWidth="1"/>
    <col min="5" max="5" width="45.625" style="99" customWidth="1"/>
    <col min="6" max="6" width="15.625" style="127" customWidth="1"/>
    <col min="7" max="7" width="9" style="80" hidden="1" customWidth="1"/>
    <col min="8" max="8" width="39.375" hidden="1" customWidth="1"/>
    <col min="9" max="9" width="6" hidden="1" customWidth="1"/>
    <col min="10" max="11" width="0" hidden="1" customWidth="1"/>
    <col min="12" max="16384" width="9" hidden="1"/>
  </cols>
  <sheetData>
    <row r="1" spans="1:10" ht="60" customHeight="1" x14ac:dyDescent="0.2">
      <c r="A1" s="459" t="s">
        <v>14</v>
      </c>
      <c r="B1" s="503"/>
      <c r="C1" s="504"/>
      <c r="D1" s="504"/>
      <c r="E1" s="505"/>
      <c r="F1" s="506"/>
    </row>
    <row r="2" spans="1:10" s="84" customFormat="1" ht="20.100000000000001" customHeight="1" x14ac:dyDescent="0.2">
      <c r="A2" s="95"/>
      <c r="B2" s="123"/>
      <c r="C2" s="63"/>
      <c r="D2" s="63"/>
      <c r="E2" s="100"/>
      <c r="F2" s="123"/>
      <c r="G2" s="82"/>
      <c r="H2" s="83"/>
      <c r="I2" s="83"/>
    </row>
    <row r="3" spans="1:10" s="87" customFormat="1" ht="20.100000000000001" customHeight="1" x14ac:dyDescent="0.2">
      <c r="A3" s="507" t="s">
        <v>15</v>
      </c>
      <c r="B3" s="508"/>
      <c r="C3" s="74"/>
      <c r="D3" s="74"/>
      <c r="E3" s="683" t="s">
        <v>16</v>
      </c>
      <c r="F3" s="684"/>
      <c r="G3" s="85"/>
      <c r="H3" s="86"/>
      <c r="I3" s="86"/>
    </row>
    <row r="4" spans="1:10" s="90" customFormat="1" ht="20.100000000000001" customHeight="1" x14ac:dyDescent="0.2">
      <c r="A4" s="509" t="s">
        <v>17</v>
      </c>
      <c r="B4" s="510" t="s">
        <v>18</v>
      </c>
      <c r="C4" s="75"/>
      <c r="D4" s="75"/>
      <c r="E4" s="475" t="s">
        <v>19</v>
      </c>
      <c r="F4" s="489"/>
      <c r="G4" s="88"/>
      <c r="H4" s="89"/>
      <c r="I4" s="462" t="s">
        <v>20</v>
      </c>
      <c r="J4" s="462"/>
    </row>
    <row r="5" spans="1:10" s="90" customFormat="1" ht="20.100000000000001" customHeight="1" x14ac:dyDescent="0.2">
      <c r="A5" s="511" t="s">
        <v>21</v>
      </c>
      <c r="B5" s="512"/>
      <c r="C5" s="91"/>
      <c r="D5" s="81"/>
      <c r="E5" s="477" t="s">
        <v>22</v>
      </c>
      <c r="F5" s="479"/>
      <c r="G5" s="88"/>
      <c r="H5" s="670"/>
      <c r="I5" s="462" t="s">
        <v>18</v>
      </c>
      <c r="J5" s="462"/>
    </row>
    <row r="6" spans="1:10" s="90" customFormat="1" ht="20.100000000000001" customHeight="1" x14ac:dyDescent="0.2">
      <c r="A6" s="511" t="s">
        <v>23</v>
      </c>
      <c r="B6" s="513"/>
      <c r="C6" s="81"/>
      <c r="D6" s="81"/>
      <c r="E6" s="477" t="s">
        <v>24</v>
      </c>
      <c r="F6" s="478">
        <f>(B29)</f>
        <v>0</v>
      </c>
      <c r="G6" s="92"/>
      <c r="H6" s="670"/>
      <c r="I6" s="462">
        <f>IF(B4="Yes", 2, 4)</f>
        <v>4</v>
      </c>
      <c r="J6" s="462"/>
    </row>
    <row r="7" spans="1:10" s="90" customFormat="1" ht="20.100000000000001" customHeight="1" x14ac:dyDescent="0.2">
      <c r="A7" s="511" t="s">
        <v>25</v>
      </c>
      <c r="B7" s="513"/>
      <c r="C7" s="81"/>
      <c r="D7" s="81"/>
      <c r="E7" s="477" t="s">
        <v>26</v>
      </c>
      <c r="F7" s="490">
        <v>0.1</v>
      </c>
      <c r="G7" s="88"/>
      <c r="H7" s="670"/>
      <c r="I7" s="462"/>
      <c r="J7" s="462"/>
    </row>
    <row r="8" spans="1:10" s="90" customFormat="1" ht="20.100000000000001" customHeight="1" x14ac:dyDescent="0.2">
      <c r="A8" s="511" t="s">
        <v>27</v>
      </c>
      <c r="B8" s="640">
        <f>(B5-B7)</f>
        <v>0</v>
      </c>
      <c r="C8" s="678"/>
      <c r="D8" s="81"/>
      <c r="E8" s="480" t="s">
        <v>28</v>
      </c>
      <c r="F8" s="491">
        <v>0.05</v>
      </c>
      <c r="G8" s="88"/>
      <c r="H8" s="519"/>
      <c r="I8" s="462" t="s">
        <v>29</v>
      </c>
      <c r="J8" s="462"/>
    </row>
    <row r="9" spans="1:10" s="90" customFormat="1" ht="20.100000000000001" customHeight="1" x14ac:dyDescent="0.2">
      <c r="A9" s="639" t="s">
        <v>30</v>
      </c>
      <c r="B9" s="514"/>
      <c r="C9" s="678"/>
      <c r="D9" s="81"/>
      <c r="E9" s="100"/>
      <c r="F9" s="123"/>
      <c r="G9" s="88"/>
      <c r="H9" s="519"/>
      <c r="I9" s="462" t="s">
        <v>31</v>
      </c>
      <c r="J9" s="462"/>
    </row>
    <row r="10" spans="1:10" s="90" customFormat="1" ht="20.100000000000001" customHeight="1" x14ac:dyDescent="0.2">
      <c r="A10" s="639" t="s">
        <v>32</v>
      </c>
      <c r="B10" s="514"/>
      <c r="C10" s="678"/>
      <c r="D10" s="81"/>
      <c r="E10" s="492" t="s">
        <v>33</v>
      </c>
      <c r="F10" s="493"/>
      <c r="G10" s="88"/>
      <c r="H10" s="670"/>
      <c r="I10" s="462" t="s">
        <v>34</v>
      </c>
      <c r="J10" s="462"/>
    </row>
    <row r="11" spans="1:10" s="90" customFormat="1" ht="20.100000000000001" customHeight="1" x14ac:dyDescent="0.2">
      <c r="A11" s="639" t="s">
        <v>35</v>
      </c>
      <c r="B11" s="515"/>
      <c r="C11" s="81"/>
      <c r="D11" s="81"/>
      <c r="E11" s="494" t="s">
        <v>36</v>
      </c>
      <c r="F11" s="495"/>
      <c r="G11" s="88"/>
      <c r="H11" s="670"/>
      <c r="I11" s="462"/>
      <c r="J11" s="462"/>
    </row>
    <row r="12" spans="1:10" s="90" customFormat="1" ht="20.100000000000001" customHeight="1" x14ac:dyDescent="0.2">
      <c r="A12" s="639" t="s">
        <v>37</v>
      </c>
      <c r="B12" s="516">
        <v>0.78</v>
      </c>
      <c r="C12" s="81"/>
      <c r="D12" s="81"/>
      <c r="E12" s="496" t="s">
        <v>38</v>
      </c>
      <c r="F12" s="497"/>
      <c r="G12" s="88"/>
      <c r="H12" s="93"/>
      <c r="I12" s="462"/>
      <c r="J12" s="462"/>
    </row>
    <row r="13" spans="1:10" s="90" customFormat="1" ht="20.100000000000001" customHeight="1" x14ac:dyDescent="0.2">
      <c r="A13" s="639" t="s">
        <v>39</v>
      </c>
      <c r="B13" s="515"/>
      <c r="C13" s="81"/>
      <c r="D13" s="81"/>
      <c r="E13" s="496" t="s">
        <v>40</v>
      </c>
      <c r="F13" s="497"/>
      <c r="G13" s="88"/>
      <c r="H13" s="93"/>
      <c r="I13" s="462"/>
      <c r="J13" s="462" t="s">
        <v>41</v>
      </c>
    </row>
    <row r="14" spans="1:10" s="90" customFormat="1" ht="20.100000000000001" customHeight="1" x14ac:dyDescent="0.2">
      <c r="A14" s="639" t="s">
        <v>42</v>
      </c>
      <c r="B14" s="516">
        <v>0.11</v>
      </c>
      <c r="C14" s="76"/>
      <c r="D14" s="76"/>
      <c r="E14" s="496" t="s">
        <v>43</v>
      </c>
      <c r="F14" s="497"/>
      <c r="G14" s="88"/>
      <c r="H14" s="670"/>
      <c r="I14" s="462"/>
      <c r="J14" s="462" t="s">
        <v>44</v>
      </c>
    </row>
    <row r="15" spans="1:10" s="90" customFormat="1" ht="20.100000000000001" customHeight="1" x14ac:dyDescent="0.2">
      <c r="A15" s="639" t="s">
        <v>45</v>
      </c>
      <c r="B15" s="517"/>
      <c r="C15" s="81"/>
      <c r="D15" s="94"/>
      <c r="E15" s="496" t="s">
        <v>46</v>
      </c>
      <c r="F15" s="497"/>
      <c r="G15" s="92"/>
      <c r="H15" s="670"/>
      <c r="I15" s="462"/>
      <c r="J15" s="462" t="s">
        <v>47</v>
      </c>
    </row>
    <row r="16" spans="1:10" s="90" customFormat="1" ht="20.100000000000001" customHeight="1" x14ac:dyDescent="0.2">
      <c r="A16" s="511" t="s">
        <v>48</v>
      </c>
      <c r="B16" s="658"/>
      <c r="C16" s="81"/>
      <c r="D16" s="81"/>
      <c r="E16" s="498" t="s">
        <v>34</v>
      </c>
      <c r="F16" s="499"/>
      <c r="G16" s="88"/>
      <c r="H16" s="670"/>
      <c r="I16" s="462">
        <v>3</v>
      </c>
      <c r="J16" s="462"/>
    </row>
    <row r="17" spans="1:9" s="90" customFormat="1" ht="20.100000000000001" customHeight="1" x14ac:dyDescent="0.2">
      <c r="A17" s="518" t="s">
        <v>49</v>
      </c>
      <c r="B17" s="659"/>
      <c r="C17" s="81"/>
      <c r="D17" s="81"/>
      <c r="E17" s="96"/>
      <c r="F17" s="73"/>
      <c r="G17" s="92"/>
      <c r="H17" s="93"/>
      <c r="I17" s="462">
        <v>6</v>
      </c>
    </row>
    <row r="18" spans="1:9" s="90" customFormat="1" ht="20.100000000000001" customHeight="1" x14ac:dyDescent="0.2">
      <c r="A18" s="96"/>
      <c r="B18" s="79"/>
      <c r="C18" s="81"/>
      <c r="D18" s="76"/>
      <c r="E18" s="481" t="s">
        <v>50</v>
      </c>
      <c r="F18" s="482"/>
      <c r="G18" s="88"/>
      <c r="H18" s="670"/>
      <c r="I18" s="462">
        <v>9</v>
      </c>
    </row>
    <row r="19" spans="1:9" s="90" customFormat="1" ht="20.100000000000001" customHeight="1" x14ac:dyDescent="0.2">
      <c r="A19" s="679" t="s">
        <v>51</v>
      </c>
      <c r="B19" s="680"/>
      <c r="C19" s="76"/>
      <c r="D19" s="94"/>
      <c r="E19" s="483" t="s">
        <v>52</v>
      </c>
      <c r="F19" s="484"/>
      <c r="G19" s="88"/>
      <c r="H19" s="8"/>
      <c r="I19" s="462">
        <v>12</v>
      </c>
    </row>
    <row r="20" spans="1:9" s="90" customFormat="1" ht="20.100000000000001" customHeight="1" x14ac:dyDescent="0.2">
      <c r="A20" s="626" t="s">
        <v>53</v>
      </c>
      <c r="B20" s="635"/>
      <c r="C20" s="81"/>
      <c r="D20" s="81"/>
      <c r="E20" s="485" t="s">
        <v>54</v>
      </c>
      <c r="F20" s="486"/>
      <c r="G20" s="88"/>
      <c r="H20" s="8"/>
      <c r="I20" s="462">
        <v>15</v>
      </c>
    </row>
    <row r="21" spans="1:9" s="90" customFormat="1" ht="20.100000000000001" customHeight="1" x14ac:dyDescent="0.2">
      <c r="A21" s="110" t="s">
        <v>55</v>
      </c>
      <c r="B21" s="636"/>
      <c r="C21" s="81"/>
      <c r="D21" s="81"/>
      <c r="E21" s="485" t="s">
        <v>56</v>
      </c>
      <c r="F21" s="486"/>
      <c r="G21" s="88"/>
      <c r="H21" s="93"/>
      <c r="I21" s="462">
        <v>18</v>
      </c>
    </row>
    <row r="22" spans="1:9" s="90" customFormat="1" ht="20.100000000000001" customHeight="1" x14ac:dyDescent="0.2">
      <c r="A22" s="111" t="s">
        <v>57</v>
      </c>
      <c r="B22" s="637">
        <v>0.1</v>
      </c>
      <c r="C22" s="81"/>
      <c r="D22" s="76"/>
      <c r="E22" s="487" t="s">
        <v>58</v>
      </c>
      <c r="F22" s="488"/>
      <c r="G22" s="88"/>
      <c r="H22" s="8"/>
      <c r="I22" s="462">
        <v>22</v>
      </c>
    </row>
    <row r="23" spans="1:9" s="90" customFormat="1" ht="20.100000000000001" customHeight="1" x14ac:dyDescent="0.2">
      <c r="A23" s="97"/>
      <c r="B23" s="463"/>
      <c r="C23" s="76"/>
      <c r="D23" s="94"/>
      <c r="E23" s="96"/>
      <c r="F23" s="78"/>
      <c r="G23" s="88"/>
      <c r="H23" s="8"/>
      <c r="I23" s="462"/>
    </row>
    <row r="24" spans="1:9" s="90" customFormat="1" ht="20.100000000000001" customHeight="1" x14ac:dyDescent="0.2">
      <c r="A24" s="681" t="s">
        <v>59</v>
      </c>
      <c r="B24" s="682"/>
      <c r="C24" s="76"/>
      <c r="D24" s="94"/>
      <c r="E24" s="467" t="s">
        <v>60</v>
      </c>
      <c r="F24" s="468"/>
      <c r="G24" s="88"/>
      <c r="H24" s="8"/>
      <c r="I24" s="462"/>
    </row>
    <row r="25" spans="1:9" s="90" customFormat="1" ht="20.100000000000001" customHeight="1" x14ac:dyDescent="0.2">
      <c r="A25" s="625" t="s">
        <v>61</v>
      </c>
      <c r="B25" s="638"/>
      <c r="C25" s="81"/>
      <c r="D25" s="81"/>
      <c r="E25" s="469" t="s">
        <v>62</v>
      </c>
      <c r="F25" s="470"/>
      <c r="G25" s="88"/>
      <c r="H25" s="670"/>
      <c r="I25" s="462"/>
    </row>
    <row r="26" spans="1:9" s="90" customFormat="1" ht="20.100000000000001" customHeight="1" x14ac:dyDescent="0.2">
      <c r="A26" s="465" t="s">
        <v>63</v>
      </c>
      <c r="B26" s="466">
        <v>0.95</v>
      </c>
      <c r="C26" s="81"/>
      <c r="D26" s="81"/>
      <c r="E26" s="471" t="s">
        <v>64</v>
      </c>
      <c r="F26" s="472"/>
      <c r="G26" s="88"/>
      <c r="H26" s="8"/>
      <c r="I26" s="462"/>
    </row>
    <row r="27" spans="1:9" s="90" customFormat="1" ht="20.100000000000001" customHeight="1" x14ac:dyDescent="0.2">
      <c r="A27" s="98"/>
      <c r="B27" s="464"/>
      <c r="C27" s="81"/>
      <c r="D27" s="81"/>
      <c r="E27" s="471" t="s">
        <v>65</v>
      </c>
      <c r="F27" s="472"/>
      <c r="G27" s="88"/>
      <c r="H27" s="8"/>
      <c r="I27" s="462"/>
    </row>
    <row r="28" spans="1:9" s="90" customFormat="1" ht="20.100000000000001" customHeight="1" x14ac:dyDescent="0.2">
      <c r="A28" s="683" t="s">
        <v>66</v>
      </c>
      <c r="B28" s="684"/>
      <c r="C28" s="81"/>
      <c r="D28" s="81"/>
      <c r="E28" s="473" t="s">
        <v>67</v>
      </c>
      <c r="F28" s="474">
        <v>0.25</v>
      </c>
      <c r="G28" s="88"/>
      <c r="H28" s="8"/>
      <c r="I28" s="462"/>
    </row>
    <row r="29" spans="1:9" s="90" customFormat="1" ht="20.100000000000001" customHeight="1" x14ac:dyDescent="0.2">
      <c r="A29" s="475" t="s">
        <v>68</v>
      </c>
      <c r="B29" s="476"/>
      <c r="C29" s="81"/>
      <c r="D29" s="76"/>
      <c r="E29" s="96"/>
      <c r="F29" s="78"/>
      <c r="G29" s="88"/>
      <c r="H29" s="93"/>
      <c r="I29" s="462"/>
    </row>
    <row r="30" spans="1:9" s="90" customFormat="1" ht="20.100000000000001" customHeight="1" x14ac:dyDescent="0.2">
      <c r="A30" s="662" t="s">
        <v>69</v>
      </c>
      <c r="B30" s="663"/>
      <c r="C30" s="76"/>
      <c r="D30" s="94"/>
      <c r="E30" s="96"/>
      <c r="F30" s="78"/>
      <c r="G30" s="88"/>
      <c r="H30" s="10"/>
      <c r="I30" s="462"/>
    </row>
    <row r="31" spans="1:9" s="90" customFormat="1" ht="20.100000000000001" customHeight="1" x14ac:dyDescent="0.2">
      <c r="A31" s="96"/>
      <c r="B31" s="78"/>
      <c r="C31" s="81"/>
      <c r="D31" s="81"/>
      <c r="E31" s="96"/>
      <c r="F31" s="78"/>
      <c r="G31" s="88"/>
      <c r="H31" s="670"/>
      <c r="I31" s="462"/>
    </row>
    <row r="32" spans="1:9" s="90" customFormat="1" ht="20.100000000000001" customHeight="1" x14ac:dyDescent="0.2">
      <c r="A32" s="120"/>
      <c r="B32" s="124"/>
      <c r="C32" s="81"/>
      <c r="D32" s="72"/>
      <c r="E32" s="101"/>
      <c r="F32" s="128"/>
      <c r="G32" s="88"/>
      <c r="H32" s="670"/>
      <c r="I32" s="462"/>
    </row>
    <row r="33" spans="1:8" s="90" customFormat="1" ht="20.100000000000001" customHeight="1" x14ac:dyDescent="0.2">
      <c r="A33" s="664" t="s">
        <v>70</v>
      </c>
      <c r="B33" s="124"/>
      <c r="C33" s="77"/>
      <c r="D33" s="76"/>
      <c r="E33" s="102"/>
      <c r="F33" s="73"/>
      <c r="G33" s="92"/>
      <c r="H33" s="670"/>
    </row>
    <row r="34" spans="1:8" s="90" customFormat="1" ht="20.100000000000001" customHeight="1" x14ac:dyDescent="0.2">
      <c r="A34" s="120"/>
      <c r="B34" s="124"/>
      <c r="C34" s="77"/>
      <c r="D34" s="94"/>
      <c r="E34" s="96"/>
      <c r="F34" s="73"/>
      <c r="G34" s="88"/>
      <c r="H34" s="10"/>
    </row>
    <row r="35" spans="1:8" s="90" customFormat="1" ht="20.100000000000001" hidden="1" customHeight="1" x14ac:dyDescent="0.2">
      <c r="A35" s="84"/>
      <c r="B35" s="124"/>
      <c r="C35" s="84"/>
      <c r="D35" s="84"/>
      <c r="E35" s="84"/>
      <c r="F35" s="124"/>
      <c r="G35" s="92"/>
      <c r="H35" s="670"/>
    </row>
    <row r="36" spans="1:8" s="90" customFormat="1" ht="20.100000000000001" hidden="1" customHeight="1" x14ac:dyDescent="0.2">
      <c r="A36" s="84"/>
      <c r="B36" s="124"/>
      <c r="C36" s="84"/>
      <c r="D36" s="84"/>
      <c r="E36" s="84"/>
      <c r="F36" s="124"/>
      <c r="G36" s="88"/>
      <c r="H36" s="670"/>
    </row>
    <row r="37" spans="1:8" s="90" customFormat="1" ht="20.100000000000001" hidden="1" customHeight="1" x14ac:dyDescent="0.2">
      <c r="A37" s="84"/>
      <c r="B37" s="124"/>
      <c r="C37" s="84"/>
      <c r="D37" s="84"/>
      <c r="E37" s="84"/>
      <c r="F37" s="124"/>
      <c r="G37" s="88"/>
      <c r="H37" s="670"/>
    </row>
    <row r="38" spans="1:8" s="90" customFormat="1" ht="14.25" hidden="1" customHeight="1" x14ac:dyDescent="0.2">
      <c r="A38" s="84"/>
      <c r="B38" s="124"/>
      <c r="C38" s="84"/>
      <c r="D38" s="84"/>
      <c r="E38" s="84"/>
      <c r="F38" s="124"/>
      <c r="G38" s="88"/>
      <c r="H38" s="670"/>
    </row>
    <row r="39" spans="1:8" s="90" customFormat="1" ht="14.25" hidden="1" customHeight="1" x14ac:dyDescent="0.2">
      <c r="A39" s="102"/>
      <c r="B39" s="78"/>
      <c r="C39" s="70"/>
      <c r="D39" s="72"/>
      <c r="E39" s="103"/>
      <c r="F39" s="78"/>
      <c r="G39" s="88"/>
      <c r="H39" s="670"/>
    </row>
    <row r="40" spans="1:8" s="90" customFormat="1" ht="14.25" hidden="1" customHeight="1" x14ac:dyDescent="0.2">
      <c r="A40" s="102"/>
      <c r="B40" s="78"/>
      <c r="C40" s="70"/>
      <c r="D40" s="70"/>
      <c r="E40" s="96"/>
      <c r="F40" s="78"/>
      <c r="G40" s="88"/>
      <c r="H40" s="670"/>
    </row>
    <row r="41" spans="1:8" s="90" customFormat="1" ht="14.25" hidden="1" customHeight="1" x14ac:dyDescent="0.2">
      <c r="A41" s="102"/>
      <c r="B41" s="78"/>
      <c r="C41" s="70"/>
      <c r="D41" s="72"/>
      <c r="E41" s="96"/>
      <c r="F41" s="78"/>
      <c r="G41" s="88"/>
      <c r="H41" s="10"/>
    </row>
    <row r="42" spans="1:8" ht="15" hidden="1" customHeight="1" x14ac:dyDescent="0.2">
      <c r="A42" s="102"/>
      <c r="B42" s="78"/>
      <c r="C42" s="70"/>
      <c r="D42" s="72"/>
      <c r="E42" s="96"/>
      <c r="F42" s="78"/>
      <c r="H42" s="7"/>
    </row>
    <row r="43" spans="1:8" hidden="1" x14ac:dyDescent="0.2">
      <c r="A43" s="102"/>
      <c r="B43" s="78"/>
      <c r="C43" s="70"/>
      <c r="D43" s="70"/>
      <c r="E43" s="121"/>
      <c r="F43" s="78"/>
      <c r="H43" s="9"/>
    </row>
    <row r="44" spans="1:8" hidden="1" x14ac:dyDescent="0.2">
      <c r="A44" s="102"/>
      <c r="B44" s="78"/>
      <c r="C44" s="70"/>
      <c r="D44" s="70"/>
      <c r="E44" s="122"/>
      <c r="F44" s="78"/>
      <c r="H44" s="7"/>
    </row>
    <row r="45" spans="1:8" hidden="1" x14ac:dyDescent="0.2">
      <c r="A45" s="102"/>
      <c r="B45" s="78"/>
      <c r="C45" s="70"/>
      <c r="D45" s="70"/>
      <c r="E45" s="96"/>
      <c r="F45" s="78"/>
      <c r="H45" s="8"/>
    </row>
    <row r="46" spans="1:8" hidden="1" x14ac:dyDescent="0.2">
      <c r="A46" s="102"/>
      <c r="B46" s="78"/>
      <c r="C46" s="70"/>
      <c r="D46" s="70"/>
      <c r="E46" s="102"/>
      <c r="F46" s="71"/>
      <c r="H46" s="9"/>
    </row>
    <row r="47" spans="1:8" hidden="1" x14ac:dyDescent="0.2">
      <c r="A47" s="102"/>
      <c r="B47" s="78"/>
      <c r="C47" s="70"/>
      <c r="D47" s="70"/>
      <c r="E47" s="102"/>
      <c r="F47" s="71"/>
      <c r="H47" s="16"/>
    </row>
    <row r="48" spans="1:8" hidden="1" x14ac:dyDescent="0.2">
      <c r="A48" s="102"/>
      <c r="B48" s="78"/>
      <c r="C48" s="70"/>
      <c r="D48" s="70"/>
      <c r="E48" s="102"/>
      <c r="F48" s="71"/>
      <c r="H48" s="9"/>
    </row>
    <row r="49" spans="1:8" hidden="1" x14ac:dyDescent="0.2">
      <c r="A49" s="102"/>
      <c r="B49" s="78"/>
      <c r="C49" s="70"/>
      <c r="D49" s="70"/>
      <c r="E49" s="102"/>
      <c r="F49" s="71"/>
      <c r="H49" s="9"/>
    </row>
    <row r="50" spans="1:8" hidden="1" x14ac:dyDescent="0.2">
      <c r="A50" s="102"/>
      <c r="B50" s="78"/>
      <c r="C50" s="70"/>
      <c r="D50" s="70"/>
      <c r="E50" s="102"/>
      <c r="F50" s="71"/>
      <c r="H50" s="7"/>
    </row>
    <row r="51" spans="1:8" x14ac:dyDescent="0.2">
      <c r="A51" s="102"/>
      <c r="B51" s="78"/>
      <c r="C51" s="70"/>
      <c r="D51" s="70"/>
      <c r="E51" s="102"/>
      <c r="F51" s="71"/>
      <c r="H51" s="8"/>
    </row>
    <row r="52" spans="1:8" x14ac:dyDescent="0.2">
      <c r="A52" s="102"/>
      <c r="B52" s="78"/>
      <c r="C52" s="70"/>
      <c r="D52" s="70"/>
      <c r="E52" s="102"/>
      <c r="F52" s="71"/>
      <c r="H52" s="9"/>
    </row>
    <row r="53" spans="1:8" x14ac:dyDescent="0.2">
      <c r="A53" s="112"/>
      <c r="B53" s="125"/>
      <c r="C53" s="113"/>
      <c r="D53" s="113"/>
      <c r="E53" s="114"/>
      <c r="F53" s="115"/>
    </row>
    <row r="54" spans="1:8" x14ac:dyDescent="0.2">
      <c r="A54" s="112"/>
      <c r="B54" s="125"/>
      <c r="C54" s="113"/>
      <c r="D54" s="116"/>
      <c r="E54" s="117"/>
      <c r="F54" s="129"/>
    </row>
    <row r="55" spans="1:8" x14ac:dyDescent="0.2">
      <c r="A55" s="118"/>
      <c r="B55" s="126"/>
      <c r="C55" s="113"/>
      <c r="D55" s="116"/>
      <c r="E55" s="119"/>
      <c r="F55" s="126"/>
    </row>
    <row r="56" spans="1:8" ht="14.25" customHeight="1" x14ac:dyDescent="0.2">
      <c r="A56" s="118"/>
      <c r="B56" s="126"/>
      <c r="C56" s="113"/>
      <c r="D56" s="116"/>
      <c r="E56" s="119" t="s">
        <v>71</v>
      </c>
      <c r="F56" s="126"/>
    </row>
    <row r="57" spans="1:8" ht="14.25" hidden="1" customHeight="1" x14ac:dyDescent="0.2">
      <c r="D57" s="66"/>
    </row>
    <row r="58" spans="1:8" ht="14.25" hidden="1" customHeight="1" x14ac:dyDescent="0.2">
      <c r="C58" s="66"/>
      <c r="D58" s="65"/>
    </row>
    <row r="59" spans="1:8" ht="14.25" hidden="1" customHeight="1" x14ac:dyDescent="0.2"/>
    <row r="60" spans="1:8" hidden="1" x14ac:dyDescent="0.2">
      <c r="D60" s="67"/>
      <c r="E60" s="105"/>
      <c r="F60" s="130"/>
    </row>
    <row r="61" spans="1:8" hidden="1" x14ac:dyDescent="0.2">
      <c r="D61" s="67"/>
    </row>
    <row r="62" spans="1:8" hidden="1" x14ac:dyDescent="0.2">
      <c r="D62" s="67"/>
      <c r="E62" s="104"/>
      <c r="F62" s="68"/>
    </row>
    <row r="63" spans="1:8" hidden="1" x14ac:dyDescent="0.2">
      <c r="D63" s="67"/>
      <c r="E63" s="106"/>
      <c r="F63" s="68"/>
    </row>
    <row r="64" spans="1:8" hidden="1" x14ac:dyDescent="0.2">
      <c r="C64" s="69"/>
      <c r="D64" s="66"/>
      <c r="E64" s="107"/>
      <c r="F64" s="68"/>
    </row>
    <row r="65" spans="1:6" hidden="1" x14ac:dyDescent="0.2">
      <c r="C65" s="66"/>
      <c r="D65" s="65"/>
      <c r="E65" s="108"/>
      <c r="F65" s="68"/>
    </row>
    <row r="66" spans="1:6" hidden="1" x14ac:dyDescent="0.2">
      <c r="E66" s="98"/>
      <c r="F66" s="68"/>
    </row>
    <row r="67" spans="1:6" hidden="1" x14ac:dyDescent="0.2">
      <c r="D67" s="67"/>
      <c r="E67" s="105"/>
      <c r="F67" s="130"/>
    </row>
    <row r="68" spans="1:6" hidden="1" x14ac:dyDescent="0.2">
      <c r="D68" s="67"/>
    </row>
    <row r="69" spans="1:6" hidden="1" x14ac:dyDescent="0.2">
      <c r="D69" s="67"/>
      <c r="E69" s="104"/>
      <c r="F69" s="68"/>
    </row>
    <row r="70" spans="1:6" hidden="1" x14ac:dyDescent="0.2">
      <c r="D70" s="67"/>
      <c r="E70" s="106"/>
      <c r="F70" s="68"/>
    </row>
    <row r="71" spans="1:6" hidden="1" x14ac:dyDescent="0.2">
      <c r="C71" s="69"/>
      <c r="D71" s="67"/>
      <c r="E71" s="107"/>
      <c r="F71" s="68"/>
    </row>
    <row r="72" spans="1:6" hidden="1" x14ac:dyDescent="0.2">
      <c r="C72" s="69"/>
      <c r="E72" s="108"/>
      <c r="F72" s="68"/>
    </row>
    <row r="73" spans="1:6" hidden="1" x14ac:dyDescent="0.2">
      <c r="E73" s="98"/>
      <c r="F73" s="68"/>
    </row>
    <row r="74" spans="1:6" hidden="1" x14ac:dyDescent="0.2">
      <c r="E74" s="104"/>
      <c r="F74" s="68"/>
    </row>
    <row r="75" spans="1:6" hidden="1" x14ac:dyDescent="0.2">
      <c r="E75" s="106"/>
      <c r="F75" s="68"/>
    </row>
    <row r="76" spans="1:6" hidden="1" x14ac:dyDescent="0.2">
      <c r="E76" s="109"/>
      <c r="F76" s="68"/>
    </row>
    <row r="77" spans="1:6" hidden="1" x14ac:dyDescent="0.2">
      <c r="E77" s="108"/>
      <c r="F77" s="68"/>
    </row>
    <row r="78" spans="1:6" hidden="1" x14ac:dyDescent="0.2">
      <c r="A78"/>
      <c r="B78"/>
      <c r="C78"/>
      <c r="D78"/>
      <c r="E78"/>
      <c r="F78"/>
    </row>
    <row r="79" spans="1:6" hidden="1" x14ac:dyDescent="0.2">
      <c r="A79"/>
      <c r="B79"/>
      <c r="C79"/>
      <c r="D79"/>
      <c r="E79"/>
      <c r="F79"/>
    </row>
    <row r="80" spans="1:6" hidden="1" x14ac:dyDescent="0.2">
      <c r="A80"/>
      <c r="B80"/>
      <c r="C80"/>
      <c r="D80"/>
      <c r="E80"/>
      <c r="F80"/>
    </row>
    <row r="81" spans="1:6" customFormat="1" hidden="1" x14ac:dyDescent="0.2"/>
    <row r="82" spans="1:6" customFormat="1" hidden="1" x14ac:dyDescent="0.2">
      <c r="A82" s="99"/>
      <c r="B82" s="68"/>
      <c r="C82" s="64"/>
      <c r="D82" s="64"/>
      <c r="E82" s="99"/>
      <c r="F82" s="127"/>
    </row>
    <row r="83" spans="1:6" customFormat="1" hidden="1" x14ac:dyDescent="0.2">
      <c r="A83" s="99"/>
      <c r="B83" s="68"/>
      <c r="C83" s="64"/>
      <c r="D83" s="64"/>
      <c r="E83" s="99"/>
      <c r="F83" s="127"/>
    </row>
    <row r="84" spans="1:6" customFormat="1" hidden="1" x14ac:dyDescent="0.2">
      <c r="A84" s="99"/>
      <c r="B84" s="68"/>
      <c r="C84" s="64"/>
      <c r="D84" s="64"/>
      <c r="E84" s="99"/>
      <c r="F84" s="127"/>
    </row>
  </sheetData>
  <sheetProtection sheet="1" selectLockedCells="1"/>
  <mergeCells count="5">
    <mergeCell ref="C8:C10"/>
    <mergeCell ref="A19:B19"/>
    <mergeCell ref="A24:B24"/>
    <mergeCell ref="A28:B28"/>
    <mergeCell ref="E3:F3"/>
  </mergeCells>
  <dataValidations count="6">
    <dataValidation type="list" allowBlank="1" showInputMessage="1" showErrorMessage="1" sqref="B4" xr:uid="{00000000-0002-0000-0200-000000000000}">
      <formula1>$I$4:$I$5</formula1>
    </dataValidation>
    <dataValidation type="list" allowBlank="1" showInputMessage="1" showErrorMessage="1" sqref="E16" xr:uid="{00000000-0002-0000-0200-000001000000}">
      <formula1>$I$8:$I$10</formula1>
    </dataValidation>
    <dataValidation type="list" showInputMessage="1" showErrorMessage="1" sqref="F26" xr:uid="{00000000-0002-0000-0200-000002000000}">
      <formula1>$I$15:$I$22</formula1>
    </dataValidation>
    <dataValidation type="list" allowBlank="1" showInputMessage="1" showErrorMessage="1" sqref="B18" xr:uid="{00000000-0002-0000-0200-000003000000}">
      <formula1>$E$6:$E$8</formula1>
    </dataValidation>
    <dataValidation allowBlank="1" showInputMessage="1" showErrorMessage="1" prompt="Click on cell E16 and make a selection using the drop down" sqref="F16" xr:uid="{00000000-0002-0000-0200-000004000000}"/>
    <dataValidation type="list" allowBlank="1" showInputMessage="1" showErrorMessage="1" sqref="B17" xr:uid="{00000000-0002-0000-0200-000005000000}">
      <formula1>$J$13:$J$15</formula1>
    </dataValidation>
  </dataValidations>
  <hyperlinks>
    <hyperlink ref="A9" location="'Report Example'!Print_Area" display="Planned Start of Calving" xr:uid="{00000000-0004-0000-0200-000000000000}"/>
    <hyperlink ref="A10" location="'Report Example'!Print_Area" display="Mating Start Date" xr:uid="{00000000-0004-0000-0200-000001000000}"/>
    <hyperlink ref="A11" location="'Report Example'!Print_Area" display="6-Week In-Calf Rate (FFR)" xr:uid="{00000000-0004-0000-0200-000002000000}"/>
    <hyperlink ref="A13" location="'Report Example'!Print_Area" display="Not-In-Calf Rate (FFR)" xr:uid="{00000000-0004-0000-0200-000003000000}"/>
    <hyperlink ref="A14" location="'Report Example'!Print_Area" display="Desired Not-In-Calf Rate (FFR)" xr:uid="{00000000-0004-0000-0200-000004000000}"/>
    <hyperlink ref="A12" location="'Report Example'!Print_Area" display="Desired 6-Week In-Calf rate" xr:uid="{00000000-0004-0000-0200-000005000000}"/>
    <hyperlink ref="A15" location="'Report Example'!Print_Area" display="Total Length of Mating (days)" xr:uid="{00000000-0004-0000-0200-000006000000}"/>
    <hyperlink ref="A25" location="'Report Example'!Print_Area" display="Actual Heat detection efficiency (Fertility Focus Report)" xr:uid="{00000000-0004-0000-0200-000007000000}"/>
    <hyperlink ref="A20" location="'Report Example'!Print_Area" display="Fertility Focus Report - Premating heats figure OR" xr:uid="{00000000-0004-0000-0200-000008000000}"/>
  </hyperlinks>
  <printOptions horizontalCentered="1"/>
  <pageMargins left="0.51181102362204722" right="0.51181102362204722" top="0.51181102362204722" bottom="0.51181102362204722" header="0.51181102362204722" footer="0.51181102362204722"/>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zoomScaleNormal="100" workbookViewId="0">
      <selection activeCell="G11" sqref="G11"/>
    </sheetView>
  </sheetViews>
  <sheetFormatPr defaultColWidth="0" defaultRowHeight="14.25" zeroHeight="1" x14ac:dyDescent="0.2"/>
  <cols>
    <col min="1" max="1" width="6.875" style="90" customWidth="1"/>
    <col min="2" max="2" width="34.875" style="90" customWidth="1"/>
    <col min="3" max="7" width="17.125" style="90" customWidth="1"/>
    <col min="8" max="8" width="8" style="90" customWidth="1"/>
    <col min="9" max="9" width="53.375" style="522" hidden="1" customWidth="1"/>
    <col min="10" max="16384" width="9" hidden="1"/>
  </cols>
  <sheetData>
    <row r="1" spans="1:9" s="1" customFormat="1" ht="60" customHeight="1" x14ac:dyDescent="0.25">
      <c r="A1" s="39" t="s">
        <v>72</v>
      </c>
      <c r="B1" s="271"/>
      <c r="C1" s="440"/>
      <c r="D1" s="441"/>
      <c r="E1" s="440"/>
      <c r="F1" s="440"/>
      <c r="G1" s="440"/>
      <c r="H1" s="440"/>
      <c r="I1" s="520"/>
    </row>
    <row r="2" spans="1:9" s="1" customFormat="1" ht="20.100000000000001" customHeight="1" x14ac:dyDescent="0.25">
      <c r="A2" s="178"/>
      <c r="B2" s="400"/>
      <c r="C2" s="442"/>
      <c r="D2" s="443"/>
      <c r="E2" s="442"/>
      <c r="F2" s="442"/>
      <c r="G2" s="442"/>
      <c r="H2" s="442"/>
      <c r="I2" s="521"/>
    </row>
    <row r="3" spans="1:9" ht="30" customHeight="1" x14ac:dyDescent="0.2">
      <c r="A3" s="84"/>
      <c r="B3" s="634" t="s">
        <v>73</v>
      </c>
      <c r="C3" s="632" t="s">
        <v>74</v>
      </c>
      <c r="D3" s="633" t="s">
        <v>75</v>
      </c>
      <c r="E3" s="632" t="s">
        <v>76</v>
      </c>
      <c r="F3" s="632" t="s">
        <v>77</v>
      </c>
      <c r="G3" s="632" t="s">
        <v>78</v>
      </c>
      <c r="H3" s="455"/>
    </row>
    <row r="4" spans="1:9" ht="20.100000000000001" customHeight="1" x14ac:dyDescent="0.2">
      <c r="A4" s="84"/>
      <c r="B4" s="462" t="s">
        <v>79</v>
      </c>
      <c r="C4" s="444" t="str">
        <f>('Non- Cycling'!C18)</f>
        <v/>
      </c>
      <c r="D4" s="445" t="str">
        <f>('Non- Cycling'!B24)</f>
        <v/>
      </c>
      <c r="E4" s="444" t="str">
        <f>('Non- Cycling'!D18)</f>
        <v/>
      </c>
      <c r="F4" s="445" t="str">
        <f>('Non- Cycling'!B28)</f>
        <v/>
      </c>
      <c r="G4" s="446" t="str">
        <f>IF(AND((D4=""),(F4="")),"",(SUM(D4+F4)))</f>
        <v/>
      </c>
      <c r="H4" s="456"/>
    </row>
    <row r="5" spans="1:9" ht="20.100000000000001" customHeight="1" x14ac:dyDescent="0.2">
      <c r="A5" s="84"/>
      <c r="B5" s="462" t="s">
        <v>80</v>
      </c>
      <c r="C5" s="444" t="str">
        <f>('Heat Detection'!B15)</f>
        <v/>
      </c>
      <c r="D5" s="445" t="str">
        <f>('Heat Detection'!B26)</f>
        <v/>
      </c>
      <c r="E5" s="444" t="str">
        <f>('Heat Detection'!B20)</f>
        <v/>
      </c>
      <c r="F5" s="445" t="str">
        <f>('Heat Detection'!B30)</f>
        <v/>
      </c>
      <c r="G5" s="446" t="str">
        <f>IF(AND((D5=""),(F5="")),"",(SUM(D5+F5)))</f>
        <v/>
      </c>
      <c r="H5" s="456"/>
    </row>
    <row r="6" spans="1:9" ht="20.100000000000001" customHeight="1" x14ac:dyDescent="0.2">
      <c r="A6" s="84"/>
      <c r="B6" s="462" t="s">
        <v>81</v>
      </c>
      <c r="C6" s="444" t="str">
        <f>('BCS loss @ early lactation'!C21)</f>
        <v/>
      </c>
      <c r="D6" s="445" t="str">
        <f>('BCS loss @ early lactation'!C22)</f>
        <v/>
      </c>
      <c r="E6" s="444" t="str">
        <f>('BCS loss @ early lactation'!C25)</f>
        <v/>
      </c>
      <c r="F6" s="445" t="str">
        <f>('BCS loss @ early lactation'!C26)</f>
        <v/>
      </c>
      <c r="G6" s="446" t="str">
        <f>IF(AND((D6=""),(F6="")),"",(SUM(D6+F6)))</f>
        <v/>
      </c>
      <c r="H6" s="456"/>
    </row>
    <row r="7" spans="1:9" ht="20.100000000000001" customHeight="1" x14ac:dyDescent="0.2">
      <c r="A7" s="84"/>
      <c r="B7" s="462" t="s">
        <v>82</v>
      </c>
      <c r="C7" s="444" t="str">
        <f>('BCS @ Calving'!B21)</f>
        <v/>
      </c>
      <c r="D7" s="445" t="str">
        <f>('BCS @ Calving'!B40)</f>
        <v/>
      </c>
      <c r="E7" s="444" t="str">
        <f>('BCS @ Calving'!B26)</f>
        <v/>
      </c>
      <c r="F7" s="445" t="str">
        <f>('BCS @ Calving'!B44)</f>
        <v/>
      </c>
      <c r="G7" s="446" t="str">
        <f>IF(AND((D7=""),(F7="")),"",(SUM(D7+F7+'BCS @ Calving'!B48)))</f>
        <v/>
      </c>
      <c r="H7" s="456"/>
    </row>
    <row r="8" spans="1:9" ht="20.100000000000001" customHeight="1" x14ac:dyDescent="0.2">
      <c r="A8" s="84"/>
      <c r="B8" s="462" t="s">
        <v>83</v>
      </c>
      <c r="C8" s="444" t="str">
        <f>('Cow Health'!C20)</f>
        <v/>
      </c>
      <c r="D8" s="445" t="str">
        <f>('Cow Health'!B26)</f>
        <v/>
      </c>
      <c r="E8" s="444" t="str">
        <f>('Cow Health'!D20)</f>
        <v/>
      </c>
      <c r="F8" s="445" t="str">
        <f>('Cow Health'!B30)</f>
        <v/>
      </c>
      <c r="G8" s="446" t="str">
        <f>IF(AND((D8=""),(F8="")),"",(SUM(D8+F8)))</f>
        <v/>
      </c>
      <c r="H8" s="456"/>
    </row>
    <row r="9" spans="1:9" ht="20.100000000000001" customHeight="1" x14ac:dyDescent="0.2">
      <c r="A9" s="84"/>
      <c r="B9" s="462" t="s">
        <v>84</v>
      </c>
      <c r="C9" s="444">
        <f>('Calving Pattern'!C14)</f>
        <v>0</v>
      </c>
      <c r="D9" s="445">
        <f>('Calving Pattern'!B25)</f>
        <v>0</v>
      </c>
      <c r="E9" s="444">
        <f>('Calving Pattern'!C19)</f>
        <v>0</v>
      </c>
      <c r="F9" s="445">
        <f>('Calving Pattern'!B29)</f>
        <v>0</v>
      </c>
      <c r="G9" s="446">
        <f>IF(AND((D9=""),(F9="")),"",(SUM(D9+F9)))</f>
        <v>0</v>
      </c>
      <c r="H9" s="456"/>
    </row>
    <row r="10" spans="1:9" ht="20.100000000000001" customHeight="1" x14ac:dyDescent="0.2">
      <c r="A10" s="84"/>
      <c r="B10" s="462" t="s">
        <v>85</v>
      </c>
      <c r="C10" s="444" t="str">
        <f>('Heifer Rearing'!B36)</f>
        <v/>
      </c>
      <c r="D10" s="462" t="str">
        <f>('Heifer Rearing'!B37)</f>
        <v/>
      </c>
      <c r="E10" s="444" t="str">
        <f>('Heifer Rearing'!B40)</f>
        <v/>
      </c>
      <c r="F10" s="445" t="str">
        <f>('Heifer Rearing'!B41)</f>
        <v/>
      </c>
      <c r="G10" s="446" t="str">
        <f>IF(AND((D10=""),(F10="")),"",(SUM(D10+F10+'Heifer Rearing'!B45)))</f>
        <v/>
      </c>
      <c r="H10" s="456"/>
      <c r="I10" s="523"/>
    </row>
    <row r="11" spans="1:9" ht="20.100000000000001" customHeight="1" x14ac:dyDescent="0.2">
      <c r="A11" s="84"/>
      <c r="B11" s="131" t="s">
        <v>86</v>
      </c>
      <c r="C11" s="447">
        <f>SUM(C4:C10)</f>
        <v>0</v>
      </c>
      <c r="D11" s="448">
        <f>SUM(D4:D10)</f>
        <v>0</v>
      </c>
      <c r="E11" s="447">
        <f>SUM(E4:E10)</f>
        <v>0</v>
      </c>
      <c r="F11" s="448">
        <f>SUM(F4:F10)</f>
        <v>0</v>
      </c>
      <c r="G11" s="449">
        <f>SUM(G4:G10)</f>
        <v>0</v>
      </c>
      <c r="H11" s="457"/>
    </row>
    <row r="12" spans="1:9" ht="6" customHeight="1" x14ac:dyDescent="0.2">
      <c r="A12" s="84"/>
      <c r="B12" s="84"/>
      <c r="C12" s="84"/>
      <c r="D12" s="305"/>
      <c r="E12" s="84"/>
      <c r="F12" s="84"/>
      <c r="G12" s="84"/>
      <c r="H12" s="84"/>
    </row>
    <row r="13" spans="1:9" s="1" customFormat="1" ht="20.100000000000001" customHeight="1" x14ac:dyDescent="0.25">
      <c r="A13" s="178"/>
      <c r="B13" s="628" t="s">
        <v>87</v>
      </c>
      <c r="C13" s="450"/>
      <c r="D13" s="178"/>
      <c r="E13" s="178"/>
      <c r="F13" s="178"/>
      <c r="G13" s="178"/>
      <c r="H13" s="178"/>
      <c r="I13" s="521"/>
    </row>
    <row r="14" spans="1:9" s="1" customFormat="1" ht="9.75" customHeight="1" x14ac:dyDescent="0.25">
      <c r="A14" s="178"/>
      <c r="B14" s="676"/>
      <c r="C14" s="450"/>
      <c r="D14" s="178"/>
      <c r="E14" s="178"/>
      <c r="F14" s="178"/>
      <c r="G14" s="178"/>
      <c r="H14" s="178"/>
      <c r="I14" s="521"/>
    </row>
    <row r="15" spans="1:9" ht="20.100000000000001" customHeight="1" x14ac:dyDescent="0.2">
      <c r="A15" s="84"/>
      <c r="B15" s="84"/>
      <c r="C15" s="84"/>
      <c r="D15" s="84"/>
      <c r="E15" s="84"/>
      <c r="F15" s="84"/>
      <c r="G15" s="84"/>
      <c r="H15" s="84"/>
    </row>
    <row r="16" spans="1:9" ht="20.100000000000001" customHeight="1" x14ac:dyDescent="0.2">
      <c r="A16" s="84"/>
      <c r="B16" s="84"/>
      <c r="C16" s="84"/>
      <c r="D16" s="451"/>
      <c r="E16" s="84"/>
      <c r="F16" s="451"/>
      <c r="G16" s="84"/>
      <c r="H16" s="84"/>
    </row>
    <row r="17" spans="1:8" ht="20.100000000000001" customHeight="1" x14ac:dyDescent="0.2">
      <c r="A17" s="84"/>
      <c r="B17" s="84"/>
      <c r="C17" s="84"/>
      <c r="D17" s="451"/>
      <c r="E17" s="84"/>
      <c r="F17" s="451"/>
      <c r="G17" s="84"/>
      <c r="H17" s="84"/>
    </row>
    <row r="18" spans="1:8" ht="20.100000000000001" customHeight="1" x14ac:dyDescent="0.2">
      <c r="A18" s="84"/>
      <c r="B18" s="84"/>
      <c r="C18" s="84"/>
      <c r="D18" s="451"/>
      <c r="E18" s="84"/>
      <c r="F18" s="451"/>
      <c r="G18" s="84"/>
      <c r="H18" s="84"/>
    </row>
    <row r="19" spans="1:8" ht="20.100000000000001" customHeight="1" x14ac:dyDescent="0.2">
      <c r="A19" s="84"/>
      <c r="B19" s="84"/>
      <c r="C19" s="84"/>
      <c r="D19" s="451"/>
      <c r="E19" s="84"/>
      <c r="F19" s="451"/>
      <c r="G19" s="84"/>
      <c r="H19" s="84"/>
    </row>
    <row r="20" spans="1:8" ht="20.100000000000001" customHeight="1" x14ac:dyDescent="0.2">
      <c r="A20" s="84"/>
      <c r="B20" s="84"/>
      <c r="C20" s="84"/>
      <c r="D20" s="451"/>
      <c r="E20" s="84"/>
      <c r="F20" s="451"/>
      <c r="G20" s="84"/>
      <c r="H20" s="84"/>
    </row>
    <row r="21" spans="1:8" ht="20.100000000000001" customHeight="1" x14ac:dyDescent="0.2">
      <c r="A21" s="84"/>
      <c r="B21" s="84"/>
      <c r="C21" s="84"/>
      <c r="D21" s="451"/>
      <c r="E21" s="84"/>
      <c r="F21" s="451"/>
      <c r="G21" s="84"/>
      <c r="H21" s="84"/>
    </row>
    <row r="22" spans="1:8" ht="20.100000000000001" customHeight="1" x14ac:dyDescent="0.2">
      <c r="A22" s="84"/>
      <c r="B22" s="84"/>
      <c r="C22" s="84"/>
      <c r="D22" s="451"/>
      <c r="E22" s="84"/>
      <c r="F22" s="451"/>
      <c r="G22" s="84"/>
      <c r="H22" s="84"/>
    </row>
    <row r="23" spans="1:8" ht="20.100000000000001" customHeight="1" x14ac:dyDescent="0.2">
      <c r="A23" s="84"/>
      <c r="B23" s="84"/>
      <c r="C23" s="84"/>
      <c r="D23" s="305"/>
      <c r="E23" s="84"/>
      <c r="F23" s="305"/>
      <c r="G23" s="84"/>
      <c r="H23" s="84"/>
    </row>
    <row r="24" spans="1:8" ht="20.100000000000001" customHeight="1" x14ac:dyDescent="0.2">
      <c r="A24" s="84"/>
      <c r="B24" s="84"/>
      <c r="C24" s="84"/>
      <c r="D24" s="84"/>
      <c r="E24" s="84"/>
      <c r="F24" s="84"/>
      <c r="G24" s="84"/>
      <c r="H24" s="84"/>
    </row>
    <row r="25" spans="1:8" ht="20.100000000000001" customHeight="1" x14ac:dyDescent="0.2">
      <c r="A25" s="84"/>
      <c r="B25" s="84"/>
      <c r="C25" s="84"/>
      <c r="D25" s="84"/>
      <c r="E25" s="84"/>
      <c r="F25" s="84"/>
      <c r="G25" s="84"/>
      <c r="H25" s="84"/>
    </row>
    <row r="26" spans="1:8" ht="20.100000000000001" customHeight="1" x14ac:dyDescent="0.2">
      <c r="A26" s="84"/>
      <c r="B26" s="84"/>
      <c r="C26" s="84"/>
      <c r="D26" s="84"/>
      <c r="E26" s="84"/>
      <c r="F26" s="84"/>
      <c r="G26" s="84"/>
      <c r="H26" s="84"/>
    </row>
    <row r="27" spans="1:8" ht="20.100000000000001" customHeight="1" x14ac:dyDescent="0.2">
      <c r="A27" s="84"/>
      <c r="B27" s="84"/>
      <c r="C27" s="84"/>
      <c r="D27" s="84"/>
      <c r="E27" s="84"/>
      <c r="F27" s="84"/>
      <c r="G27" s="84"/>
      <c r="H27" s="84"/>
    </row>
    <row r="28" spans="1:8" ht="20.100000000000001" customHeight="1" x14ac:dyDescent="0.2">
      <c r="A28" s="84"/>
      <c r="B28" s="84"/>
      <c r="C28" s="84"/>
      <c r="D28" s="84"/>
      <c r="E28" s="84"/>
      <c r="F28" s="84"/>
      <c r="G28" s="84"/>
      <c r="H28" s="84"/>
    </row>
    <row r="29" spans="1:8" ht="20.100000000000001" customHeight="1" x14ac:dyDescent="0.2">
      <c r="A29" s="84"/>
      <c r="B29" s="84"/>
      <c r="C29" s="84"/>
      <c r="D29" s="84"/>
      <c r="E29" s="84"/>
      <c r="F29" s="84"/>
      <c r="G29" s="84"/>
      <c r="H29" s="84"/>
    </row>
    <row r="30" spans="1:8" ht="20.100000000000001" customHeight="1" x14ac:dyDescent="0.2">
      <c r="A30" s="84"/>
      <c r="B30" s="84"/>
      <c r="C30" s="84"/>
      <c r="D30" s="84"/>
      <c r="E30" s="84"/>
      <c r="F30" s="84"/>
      <c r="G30" s="84"/>
      <c r="H30" s="84"/>
    </row>
    <row r="31" spans="1:8" ht="20.100000000000001" customHeight="1" x14ac:dyDescent="0.2">
      <c r="A31" s="84"/>
      <c r="B31" s="84"/>
      <c r="C31" s="84"/>
      <c r="D31" s="84"/>
      <c r="E31" s="84"/>
      <c r="F31" s="84"/>
      <c r="G31" s="84"/>
      <c r="H31" s="84"/>
    </row>
    <row r="32" spans="1:8" ht="20.100000000000001" customHeight="1" x14ac:dyDescent="0.2">
      <c r="A32" s="84"/>
      <c r="B32" s="84"/>
      <c r="C32" s="84"/>
      <c r="D32" s="84"/>
      <c r="E32" s="84"/>
      <c r="F32" s="84"/>
      <c r="G32" s="84"/>
      <c r="H32" s="84"/>
    </row>
    <row r="33" spans="1:8" ht="20.100000000000001" customHeight="1" x14ac:dyDescent="0.2">
      <c r="A33" s="84"/>
      <c r="B33" s="84"/>
      <c r="C33" s="452"/>
      <c r="D33" s="84"/>
      <c r="E33" s="453"/>
      <c r="F33" s="452"/>
      <c r="G33" s="84"/>
      <c r="H33" s="84"/>
    </row>
    <row r="34" spans="1:8" ht="20.100000000000001" customHeight="1" x14ac:dyDescent="0.2">
      <c r="A34" s="84"/>
      <c r="B34" s="84"/>
      <c r="C34" s="452"/>
      <c r="D34" s="452"/>
      <c r="E34" s="84"/>
      <c r="F34" s="84"/>
      <c r="G34" s="84"/>
      <c r="H34" s="84"/>
    </row>
    <row r="35" spans="1:8" ht="20.100000000000001" customHeight="1" x14ac:dyDescent="0.2">
      <c r="A35" s="84"/>
      <c r="B35" s="84"/>
      <c r="C35" s="452"/>
      <c r="D35" s="452"/>
      <c r="E35" s="84"/>
      <c r="F35" s="452"/>
      <c r="G35" s="84"/>
      <c r="H35" s="84"/>
    </row>
    <row r="36" spans="1:8" ht="20.100000000000001" customHeight="1" x14ac:dyDescent="0.2">
      <c r="A36" s="84"/>
      <c r="B36" s="84"/>
      <c r="C36" s="454"/>
      <c r="D36" s="84"/>
      <c r="E36" s="84"/>
      <c r="F36" s="84"/>
      <c r="G36" s="84"/>
      <c r="H36" s="84"/>
    </row>
    <row r="37" spans="1:8" ht="20.100000000000001" customHeight="1" x14ac:dyDescent="0.2">
      <c r="A37" s="84"/>
      <c r="B37" s="84"/>
      <c r="C37" s="454"/>
      <c r="D37" s="452"/>
      <c r="E37" s="84"/>
      <c r="F37" s="84"/>
      <c r="G37" s="84"/>
      <c r="H37" s="84"/>
    </row>
    <row r="38" spans="1:8" ht="20.100000000000001" customHeight="1" x14ac:dyDescent="0.2">
      <c r="A38" s="84"/>
      <c r="B38" s="84"/>
      <c r="C38" s="452"/>
      <c r="D38" s="452"/>
      <c r="E38" s="84"/>
      <c r="F38" s="84"/>
      <c r="G38" s="84"/>
      <c r="H38" s="84"/>
    </row>
    <row r="39" spans="1:8" ht="20.100000000000001" customHeight="1" x14ac:dyDescent="0.2">
      <c r="A39" s="84"/>
      <c r="B39" s="84"/>
      <c r="C39" s="84"/>
      <c r="D39" s="84"/>
      <c r="E39" s="84"/>
      <c r="F39" s="84"/>
      <c r="G39" s="84"/>
      <c r="H39" s="84"/>
    </row>
    <row r="40" spans="1:8" ht="20.100000000000001" customHeight="1" x14ac:dyDescent="0.2">
      <c r="A40" s="84"/>
      <c r="B40" s="84"/>
      <c r="C40" s="452"/>
      <c r="D40" s="452"/>
      <c r="E40" s="84"/>
      <c r="F40" s="452"/>
      <c r="G40" s="84"/>
      <c r="H40" s="84"/>
    </row>
    <row r="41" spans="1:8" ht="20.100000000000001" customHeight="1" x14ac:dyDescent="0.2">
      <c r="A41" s="84"/>
      <c r="B41" s="84"/>
      <c r="C41" s="289"/>
      <c r="D41" s="289"/>
      <c r="E41" s="84"/>
      <c r="F41" s="452"/>
      <c r="G41" s="84"/>
      <c r="H41" s="84"/>
    </row>
    <row r="42" spans="1:8" ht="20.100000000000001" customHeight="1" x14ac:dyDescent="0.2">
      <c r="A42" s="84"/>
      <c r="B42" s="84"/>
      <c r="C42" s="84"/>
      <c r="D42" s="84"/>
      <c r="E42" s="84"/>
      <c r="F42" s="84"/>
      <c r="G42" s="84"/>
      <c r="H42" s="84"/>
    </row>
    <row r="43" spans="1:8" ht="20.100000000000001" customHeight="1" x14ac:dyDescent="0.2">
      <c r="A43" s="84"/>
      <c r="B43" s="84"/>
      <c r="C43" s="84"/>
      <c r="D43" s="84"/>
      <c r="E43" s="84"/>
      <c r="F43" s="84"/>
      <c r="G43" s="84"/>
      <c r="H43" s="84"/>
    </row>
    <row r="44" spans="1:8" ht="20.100000000000001" customHeight="1" x14ac:dyDescent="0.2">
      <c r="A44" s="84"/>
      <c r="B44" s="84"/>
      <c r="C44" s="84"/>
      <c r="D44" s="84"/>
      <c r="E44" s="84"/>
      <c r="F44" s="84"/>
      <c r="G44" s="84"/>
      <c r="H44" s="84"/>
    </row>
    <row r="45" spans="1:8" ht="20.100000000000001" customHeight="1" x14ac:dyDescent="0.2">
      <c r="A45" s="84"/>
      <c r="B45" s="84"/>
      <c r="C45" s="84"/>
      <c r="D45" s="84"/>
      <c r="E45" s="84"/>
      <c r="F45" s="84"/>
      <c r="G45" s="84"/>
      <c r="H45" s="84"/>
    </row>
    <row r="46" spans="1:8" ht="20.100000000000001" customHeight="1" x14ac:dyDescent="0.2">
      <c r="A46" s="84"/>
      <c r="B46" s="84"/>
      <c r="C46" s="84"/>
      <c r="D46" s="84"/>
      <c r="E46" s="84"/>
      <c r="F46" s="84"/>
      <c r="G46" s="84"/>
      <c r="H46" s="84"/>
    </row>
    <row r="47" spans="1:8" ht="20.100000000000001" customHeight="1" x14ac:dyDescent="0.2">
      <c r="A47" s="84"/>
      <c r="B47" s="84"/>
      <c r="C47" s="84"/>
      <c r="D47" s="84"/>
      <c r="E47" s="84"/>
      <c r="F47" s="84"/>
      <c r="G47" s="84"/>
      <c r="H47" s="84"/>
    </row>
    <row r="48" spans="1:8" ht="20.100000000000001" customHeight="1" x14ac:dyDescent="0.2">
      <c r="A48" s="84"/>
      <c r="B48" s="84"/>
      <c r="C48" s="84"/>
      <c r="D48" s="84"/>
      <c r="E48" s="84"/>
      <c r="F48" s="84"/>
      <c r="G48" s="84"/>
      <c r="H48" s="84"/>
    </row>
    <row r="49" spans="1:8" ht="20.100000000000001" customHeight="1" x14ac:dyDescent="0.2">
      <c r="A49" s="84"/>
      <c r="B49" s="84"/>
      <c r="C49" s="84"/>
      <c r="D49" s="84"/>
      <c r="E49" s="84"/>
      <c r="F49" s="84"/>
      <c r="G49" s="84"/>
      <c r="H49" s="84"/>
    </row>
    <row r="50" spans="1:8" ht="19.5" customHeight="1" x14ac:dyDescent="0.2">
      <c r="A50" s="84"/>
      <c r="B50" s="84"/>
      <c r="C50" s="84"/>
      <c r="D50" s="84"/>
      <c r="E50" s="84"/>
      <c r="F50" s="84"/>
      <c r="G50" s="84"/>
      <c r="H50" s="84"/>
    </row>
    <row r="51" spans="1:8" ht="19.5" customHeight="1" x14ac:dyDescent="0.2">
      <c r="A51" s="84"/>
      <c r="C51" s="84"/>
      <c r="D51" s="84"/>
      <c r="E51" s="84"/>
      <c r="F51" s="84"/>
      <c r="G51" s="84"/>
      <c r="H51" s="84"/>
    </row>
    <row r="52" spans="1:8" ht="19.5" customHeight="1" x14ac:dyDescent="0.2">
      <c r="A52" s="84"/>
      <c r="B52" s="462"/>
      <c r="C52" s="84"/>
      <c r="D52" s="84"/>
      <c r="E52" s="84"/>
      <c r="F52" s="84"/>
      <c r="G52" s="84"/>
      <c r="H52" s="84"/>
    </row>
    <row r="53" spans="1:8" ht="19.5" customHeight="1" x14ac:dyDescent="0.2">
      <c r="A53" s="84"/>
      <c r="C53" s="84"/>
      <c r="D53" s="84"/>
      <c r="E53" s="84"/>
      <c r="F53" s="84"/>
      <c r="G53" s="84"/>
      <c r="H53" s="84"/>
    </row>
    <row r="54" spans="1:8" ht="19.5" hidden="1" customHeight="1" x14ac:dyDescent="0.2">
      <c r="A54" s="84"/>
      <c r="B54" s="84"/>
      <c r="C54" s="84"/>
      <c r="D54" s="84"/>
      <c r="E54" s="84"/>
      <c r="F54" s="84"/>
      <c r="G54" s="84"/>
      <c r="H54" s="84"/>
    </row>
    <row r="55" spans="1:8" ht="19.5" hidden="1" customHeight="1" x14ac:dyDescent="0.2">
      <c r="A55" s="84"/>
      <c r="B55" s="84"/>
      <c r="C55" s="84"/>
      <c r="D55" s="84"/>
      <c r="E55" s="84"/>
      <c r="F55" s="84"/>
      <c r="G55" s="84"/>
      <c r="H55" s="84"/>
    </row>
    <row r="56" spans="1:8" ht="19.5" hidden="1" customHeight="1" x14ac:dyDescent="0.2">
      <c r="A56" s="84"/>
      <c r="B56" s="84"/>
      <c r="C56" s="84"/>
      <c r="D56" s="84"/>
      <c r="E56" s="84"/>
      <c r="F56" s="84"/>
      <c r="G56" s="84"/>
      <c r="H56" s="84"/>
    </row>
    <row r="57" spans="1:8" ht="19.5" customHeight="1" x14ac:dyDescent="0.2">
      <c r="A57" s="84"/>
      <c r="B57" s="84"/>
      <c r="C57" s="84"/>
      <c r="D57" s="84"/>
      <c r="E57" s="84"/>
      <c r="F57" s="84"/>
      <c r="G57" s="84"/>
      <c r="H57" s="84"/>
    </row>
    <row r="58" spans="1:8" ht="19.5" customHeight="1" x14ac:dyDescent="0.2">
      <c r="A58" s="84"/>
      <c r="B58" s="84"/>
      <c r="C58" s="84"/>
      <c r="D58" s="84"/>
      <c r="E58" s="84"/>
      <c r="F58" s="84"/>
      <c r="G58" s="84"/>
      <c r="H58" s="84"/>
    </row>
    <row r="59" spans="1:8" ht="20.100000000000001" customHeight="1" x14ac:dyDescent="0.2">
      <c r="A59" s="84"/>
      <c r="B59" s="84"/>
      <c r="C59" s="84"/>
      <c r="D59" s="84"/>
      <c r="E59" s="84"/>
      <c r="F59" s="84"/>
      <c r="G59" s="84"/>
      <c r="H59" s="84"/>
    </row>
    <row r="60" spans="1:8" ht="14.25" customHeight="1" x14ac:dyDescent="0.2">
      <c r="A60" s="396"/>
      <c r="B60" s="396"/>
      <c r="C60" s="396"/>
      <c r="D60" s="396"/>
      <c r="E60" s="396"/>
      <c r="F60" s="396"/>
      <c r="G60" s="396"/>
      <c r="H60" s="396"/>
    </row>
    <row r="61" spans="1:8" ht="14.25" customHeight="1" x14ac:dyDescent="0.2">
      <c r="A61" s="396"/>
      <c r="B61" s="396"/>
      <c r="C61" s="396"/>
      <c r="D61" s="396"/>
      <c r="E61" s="396"/>
      <c r="F61" s="396"/>
      <c r="G61" s="396"/>
      <c r="H61" s="396"/>
    </row>
    <row r="62" spans="1:8" ht="14.25" customHeight="1" x14ac:dyDescent="0.2">
      <c r="A62" s="396"/>
      <c r="B62" s="396"/>
      <c r="C62" s="396"/>
      <c r="D62" s="396"/>
      <c r="E62" s="396"/>
      <c r="F62" s="396"/>
      <c r="G62" s="396"/>
      <c r="H62" s="396"/>
    </row>
    <row r="63" spans="1:8" ht="14.25" customHeight="1" x14ac:dyDescent="0.2">
      <c r="A63" s="396"/>
      <c r="B63" s="396"/>
      <c r="C63" s="396"/>
      <c r="D63" s="396"/>
      <c r="E63" s="396"/>
      <c r="F63" s="396"/>
      <c r="G63" s="396"/>
      <c r="H63" s="396"/>
    </row>
    <row r="64" spans="1:8" ht="20.100000000000001" hidden="1" customHeight="1" x14ac:dyDescent="0.2">
      <c r="A64" s="462"/>
      <c r="B64" s="462"/>
      <c r="C64" s="462"/>
      <c r="D64" s="462"/>
      <c r="E64" s="462"/>
      <c r="F64" s="462"/>
      <c r="G64" s="462"/>
      <c r="H64" s="462"/>
    </row>
    <row r="65" spans="1:8" ht="20.100000000000001" hidden="1" customHeight="1" x14ac:dyDescent="0.2">
      <c r="A65" s="462"/>
      <c r="B65" s="462"/>
      <c r="C65" s="462"/>
      <c r="D65" s="462"/>
      <c r="E65" s="462"/>
      <c r="F65" s="462"/>
      <c r="G65" s="462"/>
      <c r="H65" s="462"/>
    </row>
    <row r="66" spans="1:8" ht="20.100000000000001" hidden="1" customHeight="1" x14ac:dyDescent="0.2"/>
    <row r="67" spans="1:8" ht="20.100000000000001" hidden="1" customHeight="1" x14ac:dyDescent="0.2"/>
    <row r="68" spans="1:8" ht="20.100000000000001" hidden="1" customHeight="1" x14ac:dyDescent="0.2"/>
    <row r="69" spans="1:8" ht="20.100000000000001" hidden="1" customHeight="1" x14ac:dyDescent="0.2"/>
    <row r="70" spans="1:8" ht="20.100000000000001" hidden="1" customHeight="1" x14ac:dyDescent="0.2"/>
    <row r="71" spans="1:8" ht="20.100000000000001" hidden="1" customHeight="1" x14ac:dyDescent="0.2"/>
    <row r="72" spans="1:8" ht="20.100000000000001" hidden="1" customHeight="1" x14ac:dyDescent="0.2"/>
    <row r="73" spans="1:8" ht="20.100000000000001" hidden="1" customHeight="1" x14ac:dyDescent="0.2"/>
    <row r="74" spans="1:8" ht="20.100000000000001" hidden="1" customHeight="1" x14ac:dyDescent="0.2"/>
    <row r="75" spans="1:8" ht="20.100000000000001" hidden="1" customHeight="1" x14ac:dyDescent="0.2"/>
    <row r="76" spans="1:8" ht="20.100000000000001" hidden="1" customHeight="1" x14ac:dyDescent="0.2"/>
    <row r="77" spans="1:8" ht="20.100000000000001" hidden="1" customHeight="1" x14ac:dyDescent="0.2"/>
    <row r="78" spans="1:8" ht="20.100000000000001" hidden="1" customHeight="1" x14ac:dyDescent="0.2"/>
  </sheetData>
  <sheetProtection selectLockedCells="1"/>
  <printOptions horizontalCentered="1"/>
  <pageMargins left="0.5" right="0.5" top="0.5" bottom="0.5" header="0.5" footer="0.5"/>
  <pageSetup paperSize="9" scale="63"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U78"/>
  <sheetViews>
    <sheetView topLeftCell="A18" zoomScaleNormal="100" zoomScalePageLayoutView="60" workbookViewId="0">
      <selection activeCell="D37" sqref="D37"/>
    </sheetView>
  </sheetViews>
  <sheetFormatPr defaultColWidth="0" defaultRowHeight="14.25" zeroHeight="1" x14ac:dyDescent="0.2"/>
  <cols>
    <col min="1" max="1" width="52.125" style="147" customWidth="1"/>
    <col min="2" max="4" width="24" style="62" customWidth="1"/>
    <col min="5" max="5" width="23.625" hidden="1" customWidth="1"/>
    <col min="6" max="6" width="30.625" hidden="1" customWidth="1"/>
    <col min="7" max="8" width="36.5" hidden="1" customWidth="1"/>
    <col min="9" max="9" width="94" style="535" hidden="1" customWidth="1"/>
    <col min="10" max="10" width="34.375" style="534" hidden="1" customWidth="1"/>
    <col min="11" max="11" width="36.25" style="550" hidden="1" customWidth="1"/>
    <col min="12" max="12" width="32.375" style="535" hidden="1" customWidth="1"/>
    <col min="13" max="13" width="21.375" style="542" hidden="1" customWidth="1"/>
    <col min="14" max="14" width="23" style="542" hidden="1" customWidth="1"/>
    <col min="15" max="15" width="16.625" style="542" hidden="1" customWidth="1"/>
    <col min="16" max="16" width="4.5" style="542" hidden="1" customWidth="1"/>
    <col min="17" max="17" width="21.375" style="542" hidden="1" customWidth="1"/>
    <col min="18" max="18" width="9" style="542" hidden="1" customWidth="1"/>
    <col min="19" max="19" width="10.75" style="542" hidden="1" customWidth="1"/>
    <col min="20" max="20" width="9" style="542" hidden="1" customWidth="1"/>
    <col min="21" max="21" width="9" style="534" hidden="1" customWidth="1"/>
    <col min="22" max="16384" width="9" hidden="1"/>
  </cols>
  <sheetData>
    <row r="1" spans="1:21" ht="60" customHeight="1" x14ac:dyDescent="0.2">
      <c r="A1" s="39" t="s">
        <v>88</v>
      </c>
      <c r="B1" s="148"/>
      <c r="C1" s="148"/>
      <c r="D1" s="148"/>
      <c r="I1" s="524"/>
      <c r="J1" s="525"/>
      <c r="K1" s="540"/>
      <c r="L1" s="524"/>
      <c r="M1" s="540"/>
      <c r="N1" s="540"/>
      <c r="O1" s="540"/>
      <c r="P1" s="540"/>
      <c r="Q1" s="540"/>
      <c r="R1" s="540"/>
      <c r="S1" s="540"/>
      <c r="T1" s="540"/>
      <c r="U1" s="525"/>
    </row>
    <row r="2" spans="1:21" s="31" customFormat="1" ht="20.100000000000001" customHeight="1" x14ac:dyDescent="0.2">
      <c r="A2" s="136"/>
      <c r="B2" s="124"/>
      <c r="C2" s="124"/>
      <c r="D2" s="124"/>
      <c r="I2" s="526"/>
      <c r="J2" s="527"/>
      <c r="K2" s="541"/>
      <c r="L2" s="526"/>
      <c r="M2" s="541"/>
      <c r="N2" s="541"/>
      <c r="O2" s="541"/>
      <c r="P2" s="541"/>
      <c r="Q2" s="541"/>
      <c r="R2" s="541"/>
      <c r="S2" s="541"/>
      <c r="T2" s="541"/>
      <c r="U2" s="527"/>
    </row>
    <row r="3" spans="1:21" ht="20.100000000000001" customHeight="1" x14ac:dyDescent="0.25">
      <c r="A3" s="145"/>
      <c r="B3" s="149"/>
      <c r="C3" s="149"/>
      <c r="D3" s="149"/>
      <c r="E3" s="1"/>
      <c r="F3" s="1"/>
      <c r="G3" s="1"/>
      <c r="H3" s="1"/>
      <c r="I3" s="528"/>
      <c r="J3" s="529"/>
      <c r="K3" s="542"/>
    </row>
    <row r="4" spans="1:21" s="90" customFormat="1" ht="30" customHeight="1" x14ac:dyDescent="0.2">
      <c r="A4" s="184" t="s">
        <v>89</v>
      </c>
      <c r="B4" s="150"/>
      <c r="C4" s="124"/>
      <c r="D4" s="124"/>
      <c r="E4" s="131"/>
      <c r="F4" s="131"/>
      <c r="G4" s="131"/>
      <c r="H4" s="131"/>
      <c r="I4" s="530"/>
      <c r="J4" s="531"/>
      <c r="K4" s="673"/>
      <c r="L4" s="687" t="s">
        <v>90</v>
      </c>
      <c r="M4" s="688"/>
      <c r="N4" s="688"/>
      <c r="O4" s="688"/>
      <c r="P4" s="688"/>
      <c r="Q4" s="688"/>
      <c r="R4" s="688"/>
      <c r="S4" s="688"/>
      <c r="T4" s="688"/>
      <c r="U4" s="689"/>
    </row>
    <row r="5" spans="1:21" ht="20.100000000000001" customHeight="1" x14ac:dyDescent="0.25">
      <c r="A5" s="137" t="s">
        <v>55</v>
      </c>
      <c r="B5" s="140" t="str">
        <f>IF('Input Sheet'!B21="","",'Input Sheet'!B21)</f>
        <v/>
      </c>
      <c r="C5" s="124"/>
      <c r="D5" s="149"/>
      <c r="F5" s="1"/>
      <c r="G5" s="1"/>
      <c r="H5" s="1"/>
      <c r="I5" s="528"/>
      <c r="J5" s="529"/>
      <c r="K5" s="542"/>
      <c r="L5" s="687"/>
      <c r="M5" s="688"/>
      <c r="N5" s="688"/>
      <c r="O5" s="688"/>
      <c r="P5" s="688"/>
      <c r="Q5" s="688"/>
      <c r="R5" s="688"/>
      <c r="S5" s="688"/>
      <c r="T5" s="688"/>
      <c r="U5" s="689"/>
    </row>
    <row r="6" spans="1:21" ht="20.100000000000001" customHeight="1" x14ac:dyDescent="0.25">
      <c r="A6" s="138" t="s">
        <v>91</v>
      </c>
      <c r="B6" s="141" t="str">
        <f>IF('Input Sheet'!B6="","",'Input Sheet'!B6)</f>
        <v/>
      </c>
      <c r="C6" s="124"/>
      <c r="D6" s="149"/>
      <c r="E6" s="25"/>
      <c r="F6" s="1"/>
      <c r="G6" s="1"/>
      <c r="H6" s="1"/>
      <c r="I6" s="528"/>
      <c r="J6" s="529"/>
      <c r="K6" s="542"/>
    </row>
    <row r="7" spans="1:21" ht="20.100000000000001" customHeight="1" x14ac:dyDescent="0.25">
      <c r="A7" s="139" t="s">
        <v>92</v>
      </c>
      <c r="B7" s="142">
        <f>IF(B5="",'Input Sheet'!B20,B5/B6)</f>
        <v>0</v>
      </c>
      <c r="C7" s="124"/>
      <c r="D7" s="149"/>
      <c r="E7" s="25"/>
      <c r="F7" s="1"/>
      <c r="G7" s="1"/>
      <c r="H7" s="1"/>
      <c r="I7" s="528"/>
      <c r="J7" s="529"/>
      <c r="K7" s="542"/>
    </row>
    <row r="8" spans="1:21" ht="20.100000000000001" customHeight="1" x14ac:dyDescent="0.25">
      <c r="A8" s="145"/>
      <c r="B8" s="124"/>
      <c r="C8" s="149"/>
      <c r="D8" s="149"/>
      <c r="E8" s="1"/>
      <c r="F8" s="1"/>
      <c r="G8" s="1"/>
      <c r="H8" s="1"/>
      <c r="I8" s="528"/>
      <c r="J8" s="529"/>
      <c r="K8" s="542"/>
    </row>
    <row r="9" spans="1:21" s="90" customFormat="1" ht="30" customHeight="1" x14ac:dyDescent="0.2">
      <c r="A9" s="183" t="s">
        <v>93</v>
      </c>
      <c r="B9" s="151"/>
      <c r="C9" s="149"/>
      <c r="D9" s="149"/>
      <c r="E9" s="131"/>
      <c r="F9" s="131"/>
      <c r="G9" s="131"/>
      <c r="H9" s="131"/>
      <c r="I9" s="530"/>
      <c r="J9" s="531"/>
      <c r="K9" s="673"/>
      <c r="L9" s="543"/>
      <c r="M9" s="673"/>
      <c r="N9" s="673"/>
      <c r="O9" s="673"/>
      <c r="P9" s="673"/>
      <c r="Q9" s="673"/>
      <c r="R9" s="673"/>
      <c r="S9" s="673"/>
      <c r="T9" s="673"/>
      <c r="U9" s="545"/>
    </row>
    <row r="10" spans="1:21" ht="20.100000000000001" customHeight="1" x14ac:dyDescent="0.25">
      <c r="A10" s="138" t="s">
        <v>94</v>
      </c>
      <c r="B10" s="143" t="str">
        <f>+(IF(B7=0,"",B7))</f>
        <v/>
      </c>
      <c r="C10" s="124"/>
      <c r="D10" s="149"/>
      <c r="E10" s="1"/>
      <c r="F10" s="1"/>
      <c r="G10" s="1"/>
      <c r="H10" s="1"/>
      <c r="I10" s="528"/>
      <c r="J10" s="529"/>
      <c r="K10" s="542"/>
    </row>
    <row r="11" spans="1:21" ht="20.100000000000001" customHeight="1" x14ac:dyDescent="0.25">
      <c r="A11" s="139" t="s">
        <v>95</v>
      </c>
      <c r="B11" s="142" t="str">
        <f>IF(B10="","",100%-B10)</f>
        <v/>
      </c>
      <c r="C11" s="149"/>
      <c r="D11" s="149"/>
      <c r="F11" s="1"/>
      <c r="G11" s="1"/>
      <c r="H11" s="1"/>
      <c r="I11" s="528"/>
      <c r="J11" s="529"/>
      <c r="K11" s="542"/>
    </row>
    <row r="12" spans="1:21" ht="20.100000000000001" customHeight="1" x14ac:dyDescent="0.25">
      <c r="A12" s="47"/>
      <c r="B12" s="152"/>
      <c r="C12" s="149"/>
      <c r="D12" s="149"/>
      <c r="E12" s="3"/>
      <c r="F12" s="1"/>
      <c r="G12" s="1"/>
      <c r="H12" s="1"/>
      <c r="I12" s="528"/>
      <c r="J12" s="529"/>
      <c r="K12" s="542"/>
    </row>
    <row r="13" spans="1:21" ht="20.100000000000001" customHeight="1" x14ac:dyDescent="0.25">
      <c r="A13" s="145"/>
      <c r="B13" s="149"/>
      <c r="C13" s="149"/>
      <c r="D13" s="149"/>
      <c r="E13" s="1"/>
      <c r="F13" s="1"/>
      <c r="G13" s="1"/>
      <c r="H13" s="1"/>
      <c r="I13" s="528"/>
      <c r="J13" s="529"/>
      <c r="K13" s="547"/>
      <c r="L13" s="546"/>
      <c r="M13" s="547"/>
      <c r="N13" s="547"/>
      <c r="O13" s="547"/>
      <c r="P13" s="547"/>
      <c r="Q13" s="547"/>
      <c r="R13" s="547"/>
      <c r="S13" s="547"/>
      <c r="T13" s="547"/>
      <c r="U13" s="548"/>
    </row>
    <row r="14" spans="1:21" s="134" customFormat="1" ht="30" customHeight="1" x14ac:dyDescent="0.2">
      <c r="A14" s="672" t="s">
        <v>96</v>
      </c>
      <c r="B14" s="196"/>
      <c r="C14" s="196"/>
      <c r="D14" s="196"/>
      <c r="E14" s="132"/>
      <c r="F14" s="132"/>
      <c r="G14" s="133"/>
      <c r="H14" s="133"/>
      <c r="I14" s="532"/>
      <c r="J14" s="533"/>
      <c r="K14" s="691" t="s">
        <v>97</v>
      </c>
      <c r="L14" s="692"/>
      <c r="M14" s="692"/>
      <c r="N14" s="692"/>
      <c r="O14" s="692"/>
      <c r="P14" s="692"/>
      <c r="Q14" s="693"/>
      <c r="R14" s="556"/>
      <c r="S14" s="557"/>
      <c r="T14" s="557"/>
      <c r="U14" s="557"/>
    </row>
    <row r="15" spans="1:21" ht="30" customHeight="1" x14ac:dyDescent="0.25">
      <c r="A15" s="157"/>
      <c r="B15" s="124"/>
      <c r="C15" s="165" t="s">
        <v>98</v>
      </c>
      <c r="D15" s="166" t="s">
        <v>99</v>
      </c>
      <c r="E15" s="1"/>
      <c r="F15" s="1"/>
      <c r="G15" s="1"/>
      <c r="H15" s="1"/>
      <c r="I15" s="528"/>
      <c r="K15" s="668" t="s">
        <v>100</v>
      </c>
      <c r="L15" s="668" t="s">
        <v>101</v>
      </c>
      <c r="M15" s="690" t="s">
        <v>102</v>
      </c>
      <c r="N15" s="690"/>
      <c r="O15" s="524"/>
      <c r="P15" s="525"/>
      <c r="Q15" s="540"/>
      <c r="R15" s="540"/>
      <c r="S15" s="540"/>
      <c r="T15" s="540"/>
      <c r="U15" s="540"/>
    </row>
    <row r="16" spans="1:21" ht="20.100000000000001" customHeight="1" x14ac:dyDescent="0.25">
      <c r="A16" s="159" t="s">
        <v>103</v>
      </c>
      <c r="B16" s="160" t="str">
        <f>+IF(B11="","",B11)</f>
        <v/>
      </c>
      <c r="C16" s="160" t="str">
        <f>+IF(B16="","",(IF(B16&gt;$K$16,(IF(B16&gt;K17,(IF(B16&gt;K18,(IF(B16&gt;K19,(IF(B16&gt;M20,(IF(B16&gt;L21,(IF(B16&gt;L22,(IF(B16&gt;L23,(IF(B16&gt;L24,(IF(B16&gt;L25,(IF(B16&gt;L26,(IF(B16&gt;L27,(IF(B16&gt;L28,(IF(B16&gt;L29,(IF(B16&gt;L29,(IF(B16&gt;L30,(IF(B16&gt;L31,(IF(B16&gt;M32,(IF(B16&gt;M33,(IF(B16&gt;M34,(IF(B16&gt;M35,(IF(B16&gt;M36,(IF(B16&gt;M37,IF(B16&gt;M38,(IF(B16&gt;M39,(IF(B16&gt;M40,N40,N40)),N39)),N38),N37)),N36)),N35)),N34)),N33)),N32)),M31)),M30)),M29)),M28)),M27)),M26)),M25)),M24)),M23)),M22)),M21)),N20)),L19)),L18)),L17)),L16))/-100)))</f>
        <v/>
      </c>
      <c r="D16" s="161" t="str">
        <f>+IF(B16="","",(IF(B16&gt;$K$16,(IF(B16&gt;K17,(IF(B16&gt;K18,(IF(B16&gt;K19,(IF(B16&gt;M20,(IF(B16&gt;L21,(IF(B16&gt;L22,(IF(B16&gt;L23,(IF(B16&gt;L24,(IF(B16&gt;L25,(IF(B16&gt;L26,(IF(B16&gt;L27,(IF(B16&gt;L28,(IF(B16&gt;L29,(IF(B16&gt;L29,(IF(B16&gt;L30,(IF(B16&gt;L31,(IF(B16&gt;M32,(IF(B16&gt;M33,(IF(B16&gt;M34,(IF(B16&gt;M35,(IF(B16&gt;M36,(IF(B16&gt;M37,IF(B16&gt;M38,(IF(B16&gt;M39,(IF(B16&gt;M40,O40,O40)),O39)),O38),O37)),O36)),O35)),O34)),O33)),O32)),N31)),N30)),N29)),N28)),N27)),N26)),N25)),N24)),N23)),N22)),N21)),O20)),M19)),M18)),M17)),M16))/100)))</f>
        <v/>
      </c>
      <c r="E16" s="1"/>
      <c r="F16" s="1"/>
      <c r="G16" s="1"/>
      <c r="H16" s="1"/>
      <c r="I16" s="528"/>
      <c r="K16" s="15">
        <v>0</v>
      </c>
      <c r="L16" s="666">
        <v>0</v>
      </c>
      <c r="M16" s="685">
        <v>0</v>
      </c>
      <c r="N16" s="685"/>
      <c r="O16" s="535"/>
      <c r="P16" s="534"/>
      <c r="U16" s="542"/>
    </row>
    <row r="17" spans="1:21" ht="20.100000000000001" customHeight="1" x14ac:dyDescent="0.25">
      <c r="A17" s="138" t="s">
        <v>57</v>
      </c>
      <c r="B17" s="158">
        <f>IF('Input Sheet'!B22="","",'Input Sheet'!B22)</f>
        <v>0.1</v>
      </c>
      <c r="C17" s="158">
        <f>+IF($B$17="","",(IF($B$17&gt;$K$16,(IF($B$17&gt;K17,(IF($B$17&gt;K18,(IF($B$17&gt;K19,(IF($B$17&gt;M20,(IF($B$17&gt;L21,(IF($B$17&gt;L22,(IF($B$17&gt;L23,(IF($B$17&gt;L24,(IF($B$17&gt;L25,(IF($B$17&gt;L26,(IF($B$17&gt;L27,(IF($B$17&gt;L28,(IF($B$17&gt;#REF!,(IF($B$17&gt;L29,(IF($B$17&gt;L30,(IF($B$17&gt;L31,(IF($B$17&gt;M32,(IF($B$17&gt;M33,(IF($B$17&gt;M34,(IF($B$17&gt;M35,(IF(B17&gt;M36,(IF($B$17&gt;M37,IF($B$17&gt;M38,(IF($B$17&gt;M39,(IF($B$17&gt;M40,"NA",N40)),N39)),N38),N37)),N36)),N35)),N34)),N33)),N32)),M31)),M30)),M29)),#REF!)),M28)),M27)),M26)),M25)),M24)),M23)),M22)),M21)),N20)),L19)),L18)),L17)),L16))/-100)</f>
        <v>0.03</v>
      </c>
      <c r="D17" s="162">
        <f>+IF($B$17="","",(IF($B$17&gt;$K$16,(IF($B$17&gt;K17,(IF($B$17&gt;K18,(IF($B$17&gt;K19,(IF($B$17&gt;M20,(IF($B$17&gt;L21,(IF($B$17&gt;L22,(IF($B$17&gt;L23,(IF($B$17&gt;L24,(IF($B$17&gt;L25,(IF($B$17&gt;L26,(IF($B$17&gt;L27,(IF($B$17&gt;L28,(IF($B$17&gt;#REF!,(IF($B$17&gt;L29,(IF($B$17&gt;L30,(IF($B$17&gt;L31,(IF($B$17&gt;M32,(IF($B$17&gt;M33,(IF($B$17&gt;M34,(IF($B$17&gt;M35,(IF(B17&gt;M36,(IF($B$17&gt;M37,IF($B$17&gt;M38,(IF($B$17&gt;M39,(IF($B$17&gt;M40,"NA",O40)),O39)),O38),O37)),O36)),O35)),O34)),O33)),O32)),N31)),N30)),N29)),#REF!)),N28)),N27)),N26)),N25)),N24)),N23)),N22)),N21)),O20)),M19)),M18)),M17)),M16))/100)</f>
        <v>0.02</v>
      </c>
      <c r="E17" s="1"/>
      <c r="K17" s="14">
        <v>0.02</v>
      </c>
      <c r="L17" s="667">
        <v>0</v>
      </c>
      <c r="M17" s="686">
        <v>0</v>
      </c>
      <c r="N17" s="686"/>
      <c r="O17" s="535"/>
      <c r="P17" s="534"/>
      <c r="U17" s="542"/>
    </row>
    <row r="18" spans="1:21" ht="20.100000000000001" customHeight="1" x14ac:dyDescent="0.25">
      <c r="A18" s="139" t="s">
        <v>104</v>
      </c>
      <c r="B18" s="163" t="str">
        <f>IF(B16="", "", IF(B16&lt;=B17,"",(B16-B17)))</f>
        <v/>
      </c>
      <c r="C18" s="163" t="str">
        <f>IF(C16="", "", IF(C16&lt;=C17,"",(C16-C17)))</f>
        <v/>
      </c>
      <c r="D18" s="164" t="str">
        <f t="shared" ref="D18" si="0">IF(D16="", "", IF(D16&lt;=D17,"",(D16-D17)))</f>
        <v/>
      </c>
      <c r="E18" s="1"/>
      <c r="F18" s="1"/>
      <c r="G18" s="1"/>
      <c r="H18" s="1"/>
      <c r="I18" s="528"/>
      <c r="K18" s="15">
        <v>0.04</v>
      </c>
      <c r="L18" s="666">
        <v>-1</v>
      </c>
      <c r="M18" s="685">
        <v>0</v>
      </c>
      <c r="N18" s="685"/>
      <c r="O18" s="535"/>
      <c r="P18" s="534"/>
      <c r="U18" s="542"/>
    </row>
    <row r="19" spans="1:21" ht="20.100000000000001" customHeight="1" x14ac:dyDescent="0.25">
      <c r="A19" s="145"/>
      <c r="B19" s="149"/>
      <c r="C19" s="149"/>
      <c r="D19" s="149"/>
      <c r="E19" s="1"/>
      <c r="F19" s="1"/>
      <c r="G19" s="1"/>
      <c r="H19" s="1"/>
      <c r="I19" s="528"/>
      <c r="K19" s="14">
        <v>0.06</v>
      </c>
      <c r="L19" s="667">
        <v>-1</v>
      </c>
      <c r="M19" s="686">
        <v>1</v>
      </c>
      <c r="N19" s="686"/>
      <c r="O19" s="546"/>
      <c r="P19" s="548"/>
      <c r="U19" s="542"/>
    </row>
    <row r="20" spans="1:21" s="134" customFormat="1" ht="30" customHeight="1" x14ac:dyDescent="0.2">
      <c r="A20" s="672" t="s">
        <v>105</v>
      </c>
      <c r="B20" s="196"/>
      <c r="C20" s="196"/>
      <c r="D20" s="196"/>
      <c r="E20" s="132"/>
      <c r="F20" s="132"/>
      <c r="G20" s="133"/>
      <c r="H20" s="133"/>
      <c r="I20" s="532"/>
      <c r="J20" s="555"/>
      <c r="K20" s="549"/>
      <c r="L20" s="461"/>
      <c r="M20" s="135">
        <v>0.08</v>
      </c>
      <c r="N20" s="461">
        <v>-2</v>
      </c>
      <c r="O20" s="694">
        <v>1</v>
      </c>
      <c r="P20" s="694"/>
      <c r="Q20" s="556"/>
      <c r="R20" s="557"/>
      <c r="S20" s="557"/>
      <c r="T20" s="557"/>
      <c r="U20" s="557"/>
    </row>
    <row r="21" spans="1:21" ht="20.100000000000001" customHeight="1" x14ac:dyDescent="0.25">
      <c r="A21" s="146"/>
      <c r="B21" s="144"/>
      <c r="C21" s="144"/>
      <c r="D21" s="144"/>
      <c r="E21" s="2"/>
      <c r="F21" s="1"/>
      <c r="G21" s="1"/>
      <c r="H21" s="1"/>
      <c r="I21" s="528"/>
      <c r="J21" s="542"/>
      <c r="L21" s="14">
        <v>0.1</v>
      </c>
      <c r="M21" s="667">
        <v>-3</v>
      </c>
      <c r="N21" s="686">
        <v>2</v>
      </c>
      <c r="O21" s="686"/>
      <c r="P21" s="524"/>
      <c r="Q21" s="535"/>
      <c r="U21" s="542"/>
    </row>
    <row r="22" spans="1:21" ht="30" customHeight="1" x14ac:dyDescent="0.25">
      <c r="A22" s="182" t="s">
        <v>106</v>
      </c>
      <c r="B22" s="167"/>
      <c r="C22" s="124"/>
      <c r="D22" s="124"/>
      <c r="F22" s="1"/>
      <c r="G22" s="1"/>
      <c r="H22" s="1"/>
      <c r="I22" s="528"/>
      <c r="J22" s="542"/>
      <c r="L22" s="15">
        <v>0.12</v>
      </c>
      <c r="M22" s="666">
        <v>-4</v>
      </c>
      <c r="N22" s="685">
        <v>2</v>
      </c>
      <c r="O22" s="685"/>
      <c r="P22" s="535"/>
      <c r="Q22" s="535"/>
      <c r="U22" s="542"/>
    </row>
    <row r="23" spans="1:21" ht="20.100000000000001" customHeight="1" x14ac:dyDescent="0.25">
      <c r="A23" s="138" t="s">
        <v>107</v>
      </c>
      <c r="B23" s="171" t="str">
        <f>IF(C18="", "", C18)</f>
        <v/>
      </c>
      <c r="C23" s="124"/>
      <c r="D23" s="124"/>
      <c r="E23" s="18"/>
      <c r="F23" s="1"/>
      <c r="G23" s="1"/>
      <c r="H23" s="1"/>
      <c r="I23" s="528"/>
      <c r="J23" s="554"/>
      <c r="L23" s="14">
        <v>0.14000000000000001</v>
      </c>
      <c r="M23" s="667">
        <v>-5</v>
      </c>
      <c r="N23" s="686">
        <v>3</v>
      </c>
      <c r="O23" s="686"/>
      <c r="P23" s="535"/>
      <c r="Q23" s="535"/>
      <c r="U23" s="542"/>
    </row>
    <row r="24" spans="1:21" ht="20.100000000000001" customHeight="1" x14ac:dyDescent="0.25">
      <c r="A24" s="139" t="s">
        <v>108</v>
      </c>
      <c r="B24" s="172" t="str">
        <f>IF(B23="", "",(B23*'Input Sheet'!I6*B6)*100)</f>
        <v/>
      </c>
      <c r="C24" s="124"/>
      <c r="D24" s="124"/>
      <c r="F24" s="1"/>
      <c r="G24" s="1"/>
      <c r="H24" s="1"/>
      <c r="I24" s="528"/>
      <c r="J24" s="554"/>
      <c r="L24" s="15">
        <v>0.16</v>
      </c>
      <c r="M24" s="666">
        <v>-5</v>
      </c>
      <c r="N24" s="685">
        <v>3</v>
      </c>
      <c r="O24" s="685"/>
      <c r="P24" s="535"/>
      <c r="Q24" s="535"/>
      <c r="U24" s="542"/>
    </row>
    <row r="25" spans="1:21" ht="20.100000000000001" customHeight="1" x14ac:dyDescent="0.25">
      <c r="A25" s="42"/>
      <c r="B25" s="124"/>
      <c r="C25" s="124"/>
      <c r="D25" s="124"/>
      <c r="F25" s="1"/>
      <c r="G25" s="1"/>
      <c r="H25" s="1"/>
      <c r="I25" s="528"/>
      <c r="J25" s="542"/>
      <c r="L25" s="14">
        <v>0.18</v>
      </c>
      <c r="M25" s="667">
        <v>-6</v>
      </c>
      <c r="N25" s="686">
        <v>3</v>
      </c>
      <c r="O25" s="686"/>
      <c r="P25" s="535"/>
      <c r="Q25" s="535"/>
      <c r="U25" s="542"/>
    </row>
    <row r="26" spans="1:21" ht="30" customHeight="1" x14ac:dyDescent="0.25">
      <c r="A26" s="182" t="s">
        <v>109</v>
      </c>
      <c r="B26" s="168"/>
      <c r="C26" s="144"/>
      <c r="D26" s="144"/>
      <c r="E26" s="2"/>
      <c r="F26" s="1"/>
      <c r="G26" s="1"/>
      <c r="H26" s="1"/>
      <c r="I26" s="528"/>
      <c r="J26" s="554"/>
      <c r="L26" s="15">
        <v>0.2</v>
      </c>
      <c r="M26" s="666">
        <v>-6</v>
      </c>
      <c r="N26" s="685">
        <v>4</v>
      </c>
      <c r="O26" s="685"/>
      <c r="P26" s="535"/>
      <c r="Q26" s="535"/>
      <c r="U26" s="542"/>
    </row>
    <row r="27" spans="1:21" ht="20.100000000000001" customHeight="1" x14ac:dyDescent="0.25">
      <c r="A27" s="169" t="s">
        <v>110</v>
      </c>
      <c r="B27" s="173" t="str">
        <f>IF(D18="","",D18)</f>
        <v/>
      </c>
      <c r="C27" s="124"/>
      <c r="D27" s="124"/>
      <c r="F27" s="1"/>
      <c r="G27" s="1"/>
      <c r="H27" s="1"/>
      <c r="I27" s="528"/>
      <c r="J27" s="554"/>
      <c r="L27" s="14">
        <v>0.22</v>
      </c>
      <c r="M27" s="667">
        <v>-7</v>
      </c>
      <c r="N27" s="686">
        <v>4</v>
      </c>
      <c r="O27" s="686"/>
      <c r="P27" s="535"/>
      <c r="Q27" s="535"/>
      <c r="U27" s="542"/>
    </row>
    <row r="28" spans="1:21" ht="20.100000000000001" customHeight="1" x14ac:dyDescent="0.25">
      <c r="A28" s="170" t="s">
        <v>108</v>
      </c>
      <c r="B28" s="174" t="str">
        <f>IF(B27="","", (B27*10*B6)*100)</f>
        <v/>
      </c>
      <c r="C28" s="124"/>
      <c r="D28" s="124"/>
      <c r="E28" s="18"/>
      <c r="F28" s="1"/>
      <c r="G28" s="1"/>
      <c r="H28" s="1"/>
      <c r="I28" s="528"/>
      <c r="J28" s="542"/>
      <c r="L28" s="15">
        <v>0.24</v>
      </c>
      <c r="M28" s="666">
        <v>-7</v>
      </c>
      <c r="N28" s="685">
        <v>5</v>
      </c>
      <c r="O28" s="685"/>
      <c r="P28" s="535"/>
      <c r="Q28" s="535"/>
      <c r="U28" s="542"/>
    </row>
    <row r="29" spans="1:21" ht="20.100000000000001" customHeight="1" x14ac:dyDescent="0.25">
      <c r="A29" s="47"/>
      <c r="B29" s="124"/>
      <c r="C29" s="124"/>
      <c r="D29" s="124"/>
      <c r="F29" s="1"/>
      <c r="G29" s="1"/>
      <c r="H29" s="1"/>
      <c r="I29" s="528"/>
      <c r="J29" s="554"/>
      <c r="L29" s="15">
        <v>0.28000000000000003</v>
      </c>
      <c r="M29" s="666">
        <v>-8</v>
      </c>
      <c r="N29" s="685">
        <v>5</v>
      </c>
      <c r="O29" s="685"/>
      <c r="P29" s="535"/>
      <c r="Q29" s="535"/>
      <c r="U29" s="542"/>
    </row>
    <row r="30" spans="1:21" ht="50.1" customHeight="1" x14ac:dyDescent="0.25">
      <c r="A30" s="153" t="s">
        <v>111</v>
      </c>
      <c r="B30" s="175" t="str">
        <f>IF(AND((B24=""),(B28="")), "",(B24+B28))</f>
        <v/>
      </c>
      <c r="C30" s="500" t="str">
        <f>IF(B30="", "Well done!"&amp;CHAR(10)&amp;"You do not have a gap in this area", "")</f>
        <v>Well done!
You do not have a gap in this area</v>
      </c>
      <c r="D30" s="226"/>
      <c r="E30" s="23"/>
      <c r="F30" s="1"/>
      <c r="G30" s="1"/>
      <c r="H30" s="1"/>
      <c r="I30" s="528"/>
      <c r="J30" s="542"/>
      <c r="L30" s="14">
        <v>0.3</v>
      </c>
      <c r="M30" s="667">
        <v>-9</v>
      </c>
      <c r="N30" s="686">
        <v>6</v>
      </c>
      <c r="O30" s="686"/>
      <c r="P30" s="535"/>
      <c r="Q30" s="535"/>
      <c r="U30" s="542"/>
    </row>
    <row r="31" spans="1:21" ht="20.100000000000001" customHeight="1" x14ac:dyDescent="0.25">
      <c r="A31" s="47"/>
      <c r="B31" s="124"/>
      <c r="C31" s="124"/>
      <c r="D31" s="124"/>
      <c r="F31" s="1"/>
      <c r="G31" s="1"/>
      <c r="H31" s="1"/>
      <c r="I31" s="528"/>
      <c r="J31" s="554"/>
      <c r="L31" s="15">
        <v>0.32</v>
      </c>
      <c r="M31" s="666">
        <v>-9</v>
      </c>
      <c r="N31" s="685">
        <v>6</v>
      </c>
      <c r="O31" s="685"/>
      <c r="P31" s="546"/>
      <c r="Q31" s="535"/>
      <c r="U31" s="542"/>
    </row>
    <row r="32" spans="1:21" ht="20.100000000000001" customHeight="1" x14ac:dyDescent="0.25">
      <c r="A32" s="154"/>
      <c r="B32" s="155"/>
      <c r="C32" s="155"/>
      <c r="D32" s="155"/>
      <c r="E32" s="460"/>
      <c r="F32" s="460"/>
      <c r="G32" s="460"/>
      <c r="H32" s="460"/>
      <c r="I32" s="536"/>
      <c r="J32" s="537"/>
      <c r="K32" s="554"/>
      <c r="L32" s="553"/>
      <c r="M32" s="14">
        <v>0.34</v>
      </c>
      <c r="N32" s="667">
        <v>-10</v>
      </c>
      <c r="O32" s="686">
        <v>6</v>
      </c>
      <c r="P32" s="686"/>
      <c r="Q32" s="535"/>
      <c r="U32" s="542"/>
    </row>
    <row r="33" spans="1:21" ht="20.100000000000001" customHeight="1" x14ac:dyDescent="0.25">
      <c r="A33" s="154"/>
      <c r="B33" s="155"/>
      <c r="C33" s="155"/>
      <c r="D33" s="155"/>
      <c r="E33" s="4"/>
      <c r="F33" s="4"/>
      <c r="G33" s="4"/>
      <c r="H33" s="4"/>
      <c r="I33" s="538"/>
      <c r="J33" s="539"/>
      <c r="K33" s="554"/>
      <c r="L33" s="550"/>
      <c r="M33" s="15">
        <v>0.36</v>
      </c>
      <c r="N33" s="666">
        <v>-10</v>
      </c>
      <c r="O33" s="685">
        <v>6</v>
      </c>
      <c r="P33" s="685"/>
      <c r="Q33" s="535"/>
      <c r="U33" s="542"/>
    </row>
    <row r="34" spans="1:21" ht="20.100000000000001" customHeight="1" x14ac:dyDescent="0.25">
      <c r="A34" s="154"/>
      <c r="B34" s="155"/>
      <c r="C34" s="155"/>
      <c r="D34" s="155"/>
      <c r="E34" s="1"/>
      <c r="F34" s="1"/>
      <c r="G34" s="1"/>
      <c r="H34" s="1"/>
      <c r="I34" s="528"/>
      <c r="J34" s="529"/>
      <c r="K34" s="554"/>
      <c r="L34" s="550"/>
      <c r="M34" s="14">
        <v>0.38</v>
      </c>
      <c r="N34" s="667">
        <v>-11</v>
      </c>
      <c r="O34" s="686">
        <v>7</v>
      </c>
      <c r="P34" s="686"/>
      <c r="Q34" s="535"/>
      <c r="U34" s="542"/>
    </row>
    <row r="35" spans="1:21" ht="15" x14ac:dyDescent="0.25">
      <c r="A35" s="154"/>
      <c r="B35" s="155"/>
      <c r="C35" s="155"/>
      <c r="D35" s="155"/>
      <c r="E35" s="1"/>
      <c r="F35" s="1"/>
      <c r="G35" s="1"/>
      <c r="H35" s="1"/>
      <c r="I35" s="528"/>
      <c r="J35" s="529"/>
      <c r="K35" s="554"/>
      <c r="L35" s="550"/>
      <c r="M35" s="15">
        <v>0.4</v>
      </c>
      <c r="N35" s="666">
        <v>-11</v>
      </c>
      <c r="O35" s="685">
        <v>7</v>
      </c>
      <c r="P35" s="685"/>
      <c r="Q35" s="535"/>
      <c r="U35" s="542"/>
    </row>
    <row r="36" spans="1:21" ht="15" x14ac:dyDescent="0.25">
      <c r="A36" s="154"/>
      <c r="B36" s="155"/>
      <c r="C36" s="155"/>
      <c r="D36" s="155"/>
      <c r="E36" s="1"/>
      <c r="F36" s="1"/>
      <c r="G36" s="1"/>
      <c r="H36" s="1"/>
      <c r="I36" s="528"/>
      <c r="J36" s="529"/>
      <c r="K36" s="554"/>
      <c r="L36" s="550"/>
      <c r="M36" s="14">
        <v>0.42</v>
      </c>
      <c r="N36" s="667">
        <v>-12</v>
      </c>
      <c r="O36" s="686">
        <v>7</v>
      </c>
      <c r="P36" s="686"/>
      <c r="Q36" s="535"/>
      <c r="U36" s="542"/>
    </row>
    <row r="37" spans="1:21" ht="15" x14ac:dyDescent="0.25">
      <c r="A37" s="113"/>
      <c r="B37" s="113"/>
      <c r="C37" s="114"/>
      <c r="D37" s="115" t="s">
        <v>112</v>
      </c>
      <c r="E37" s="1"/>
      <c r="F37" s="1"/>
      <c r="G37" s="1"/>
      <c r="H37" s="1"/>
      <c r="I37" s="528"/>
      <c r="J37" s="529"/>
      <c r="K37" s="554"/>
      <c r="L37" s="550"/>
      <c r="M37" s="15">
        <v>0.44</v>
      </c>
      <c r="N37" s="666">
        <v>-12</v>
      </c>
      <c r="O37" s="685">
        <v>7</v>
      </c>
      <c r="P37" s="685"/>
      <c r="Q37" s="535"/>
      <c r="U37" s="542"/>
    </row>
    <row r="38" spans="1:21" ht="15" x14ac:dyDescent="0.25">
      <c r="A38" s="113"/>
      <c r="B38" s="116"/>
      <c r="C38" s="117"/>
      <c r="D38" s="129"/>
      <c r="E38" s="1"/>
      <c r="F38" s="1"/>
      <c r="G38" s="1"/>
      <c r="H38" s="1"/>
      <c r="I38" s="528"/>
      <c r="J38" s="529"/>
      <c r="K38" s="554"/>
      <c r="L38" s="550"/>
      <c r="M38" s="14">
        <v>0.46</v>
      </c>
      <c r="N38" s="667">
        <v>-13</v>
      </c>
      <c r="O38" s="686">
        <v>8</v>
      </c>
      <c r="P38" s="686"/>
      <c r="Q38" s="535"/>
      <c r="U38" s="542"/>
    </row>
    <row r="39" spans="1:21" ht="15" x14ac:dyDescent="0.25">
      <c r="A39" s="113"/>
      <c r="B39" s="116"/>
      <c r="C39" s="119"/>
      <c r="D39" s="126"/>
      <c r="E39" s="1"/>
      <c r="F39" s="1"/>
      <c r="G39" s="1"/>
      <c r="H39" s="1"/>
      <c r="I39" s="528"/>
      <c r="J39" s="529"/>
      <c r="K39" s="554"/>
      <c r="L39" s="550"/>
      <c r="M39" s="15">
        <v>0.48</v>
      </c>
      <c r="N39" s="666">
        <v>-13</v>
      </c>
      <c r="O39" s="685">
        <v>8</v>
      </c>
      <c r="P39" s="685"/>
      <c r="Q39" s="535"/>
      <c r="U39" s="542"/>
    </row>
    <row r="40" spans="1:21" ht="15" x14ac:dyDescent="0.25">
      <c r="A40" s="113"/>
      <c r="B40" s="116"/>
      <c r="C40" s="119" t="s">
        <v>71</v>
      </c>
      <c r="D40" s="126"/>
      <c r="E40" s="1"/>
      <c r="F40" s="1"/>
      <c r="G40" s="1"/>
      <c r="H40" s="1"/>
      <c r="I40" s="528"/>
      <c r="J40" s="529"/>
      <c r="K40" s="554"/>
      <c r="L40" s="550"/>
      <c r="M40" s="14">
        <v>0.5</v>
      </c>
      <c r="N40" s="667">
        <v>-14</v>
      </c>
      <c r="O40" s="686">
        <v>8</v>
      </c>
      <c r="P40" s="686"/>
      <c r="Q40" s="535"/>
      <c r="U40" s="542"/>
    </row>
    <row r="41" spans="1:21" ht="15" hidden="1" x14ac:dyDescent="0.25">
      <c r="E41" s="1"/>
      <c r="F41" s="1"/>
      <c r="G41" s="1"/>
      <c r="H41" s="1"/>
      <c r="I41" s="528"/>
      <c r="J41" s="529"/>
      <c r="K41" s="554"/>
      <c r="M41" s="552"/>
      <c r="N41" s="552"/>
      <c r="O41" s="552"/>
      <c r="P41" s="552"/>
      <c r="Q41" s="552"/>
      <c r="R41" s="552"/>
      <c r="S41" s="552"/>
      <c r="T41" s="540"/>
      <c r="U41" s="525"/>
    </row>
    <row r="42" spans="1:21" ht="15" hidden="1" x14ac:dyDescent="0.25">
      <c r="E42" s="1"/>
      <c r="F42" s="1"/>
      <c r="G42" s="1"/>
      <c r="H42" s="1"/>
      <c r="I42" s="528"/>
      <c r="J42" s="529"/>
      <c r="K42" s="554"/>
    </row>
    <row r="43" spans="1:21" ht="15" hidden="1" x14ac:dyDescent="0.25">
      <c r="E43" s="1"/>
      <c r="F43" s="1"/>
      <c r="G43" s="1"/>
      <c r="H43" s="1"/>
      <c r="I43" s="528"/>
      <c r="J43" s="529"/>
      <c r="K43" s="554"/>
    </row>
    <row r="44" spans="1:21" ht="15" hidden="1" x14ac:dyDescent="0.25">
      <c r="E44" s="1"/>
      <c r="F44" s="1"/>
      <c r="K44" s="542"/>
    </row>
    <row r="45" spans="1:21" ht="15" hidden="1" x14ac:dyDescent="0.25">
      <c r="E45" s="1"/>
      <c r="F45" s="1"/>
      <c r="K45" s="542"/>
    </row>
    <row r="46" spans="1:21" ht="15" hidden="1" x14ac:dyDescent="0.25">
      <c r="E46" s="1"/>
      <c r="F46" s="1"/>
      <c r="K46" s="542"/>
    </row>
    <row r="47" spans="1:21" hidden="1" x14ac:dyDescent="0.2">
      <c r="K47" s="542"/>
    </row>
    <row r="48" spans="1:21" hidden="1" x14ac:dyDescent="0.2">
      <c r="K48" s="542"/>
    </row>
    <row r="49" spans="7:11" hidden="1" x14ac:dyDescent="0.2">
      <c r="K49" s="542"/>
    </row>
    <row r="50" spans="7:11" hidden="1" x14ac:dyDescent="0.2">
      <c r="K50" s="542"/>
    </row>
    <row r="55" spans="7:11" ht="15" hidden="1" x14ac:dyDescent="0.25">
      <c r="G55" s="1"/>
      <c r="H55" s="1"/>
      <c r="I55" s="528"/>
      <c r="J55" s="529"/>
      <c r="K55" s="551"/>
    </row>
    <row r="56" spans="7:11" ht="15" hidden="1" x14ac:dyDescent="0.25">
      <c r="G56" s="1"/>
      <c r="H56" s="1"/>
      <c r="I56" s="528"/>
      <c r="J56" s="529"/>
      <c r="K56" s="551"/>
    </row>
    <row r="57" spans="7:11" ht="15" hidden="1" x14ac:dyDescent="0.25">
      <c r="G57" s="1"/>
      <c r="H57" s="1"/>
      <c r="I57" s="528"/>
      <c r="J57" s="529"/>
      <c r="K57" s="551"/>
    </row>
    <row r="58" spans="7:11" ht="15" hidden="1" x14ac:dyDescent="0.25">
      <c r="G58" s="1"/>
      <c r="H58" s="1"/>
      <c r="I58" s="528"/>
      <c r="J58" s="529"/>
      <c r="K58" s="551"/>
    </row>
    <row r="59" spans="7:11" ht="15" hidden="1" x14ac:dyDescent="0.25">
      <c r="G59" s="1"/>
      <c r="H59" s="1"/>
      <c r="I59" s="528"/>
      <c r="J59" s="529"/>
      <c r="K59" s="551"/>
    </row>
    <row r="60" spans="7:11" ht="15" hidden="1" x14ac:dyDescent="0.25">
      <c r="G60" s="1"/>
      <c r="H60" s="1"/>
      <c r="I60" s="528"/>
      <c r="J60" s="529"/>
      <c r="K60" s="551"/>
    </row>
    <row r="61" spans="7:11" ht="15" hidden="1" x14ac:dyDescent="0.25">
      <c r="G61" s="1"/>
      <c r="H61" s="1"/>
      <c r="I61" s="528"/>
      <c r="J61" s="529"/>
      <c r="K61" s="551"/>
    </row>
    <row r="62" spans="7:11" ht="15" hidden="1" x14ac:dyDescent="0.25">
      <c r="G62" s="1"/>
      <c r="H62" s="1"/>
      <c r="I62" s="528"/>
      <c r="J62" s="529"/>
      <c r="K62" s="551"/>
    </row>
    <row r="63" spans="7:11" ht="15" hidden="1" x14ac:dyDescent="0.25">
      <c r="G63" s="1"/>
      <c r="H63" s="1"/>
      <c r="I63" s="528"/>
      <c r="J63" s="529"/>
      <c r="K63" s="551"/>
    </row>
    <row r="64" spans="7:11" ht="30" hidden="1" customHeight="1" x14ac:dyDescent="0.25">
      <c r="G64" s="1"/>
      <c r="H64" s="1"/>
      <c r="I64" s="528"/>
      <c r="J64" s="529"/>
      <c r="K64" s="551"/>
    </row>
    <row r="65" spans="7:11" ht="15" hidden="1" x14ac:dyDescent="0.25">
      <c r="G65" s="1"/>
      <c r="H65" s="1"/>
      <c r="I65" s="528"/>
      <c r="J65" s="529"/>
      <c r="K65" s="551"/>
    </row>
    <row r="66" spans="7:11" ht="15" hidden="1" x14ac:dyDescent="0.25">
      <c r="G66" s="1"/>
      <c r="H66" s="1"/>
      <c r="I66" s="528"/>
      <c r="J66" s="529"/>
      <c r="K66" s="551"/>
    </row>
    <row r="67" spans="7:11" ht="15" hidden="1" x14ac:dyDescent="0.25">
      <c r="G67" s="1"/>
      <c r="H67" s="1"/>
      <c r="I67" s="528"/>
      <c r="J67" s="529"/>
      <c r="K67" s="551"/>
    </row>
    <row r="68" spans="7:11" ht="15" hidden="1" x14ac:dyDescent="0.25">
      <c r="G68" s="1"/>
      <c r="H68" s="1"/>
      <c r="I68" s="528"/>
      <c r="J68" s="529"/>
      <c r="K68" s="551"/>
    </row>
    <row r="69" spans="7:11" ht="15" hidden="1" x14ac:dyDescent="0.25">
      <c r="G69" s="1"/>
      <c r="H69" s="1"/>
      <c r="I69" s="528"/>
      <c r="J69" s="529"/>
      <c r="K69" s="551"/>
    </row>
    <row r="70" spans="7:11" ht="15" hidden="1" x14ac:dyDescent="0.25">
      <c r="G70" s="1"/>
      <c r="H70" s="1"/>
      <c r="I70" s="528"/>
      <c r="J70" s="529"/>
      <c r="K70" s="551"/>
    </row>
    <row r="71" spans="7:11" ht="15" hidden="1" x14ac:dyDescent="0.25">
      <c r="G71" s="1"/>
      <c r="H71" s="1"/>
      <c r="I71" s="528"/>
      <c r="J71" s="529"/>
      <c r="K71" s="551"/>
    </row>
    <row r="72" spans="7:11" ht="15" hidden="1" x14ac:dyDescent="0.25">
      <c r="G72" s="1"/>
      <c r="H72" s="1"/>
      <c r="I72" s="528"/>
      <c r="J72" s="529"/>
      <c r="K72" s="551"/>
    </row>
    <row r="73" spans="7:11" ht="15" hidden="1" x14ac:dyDescent="0.25">
      <c r="G73" s="1"/>
      <c r="H73" s="1"/>
      <c r="I73" s="528"/>
      <c r="J73" s="529"/>
      <c r="K73" s="551"/>
    </row>
    <row r="74" spans="7:11" ht="15" hidden="1" x14ac:dyDescent="0.25">
      <c r="G74" s="1"/>
      <c r="H74" s="1"/>
      <c r="I74" s="528"/>
      <c r="J74" s="529"/>
      <c r="K74" s="551"/>
    </row>
    <row r="75" spans="7:11" ht="15" hidden="1" x14ac:dyDescent="0.25">
      <c r="G75" s="1"/>
      <c r="H75" s="1"/>
      <c r="I75" s="528"/>
      <c r="J75" s="529"/>
      <c r="K75" s="551"/>
    </row>
    <row r="76" spans="7:11" ht="15" hidden="1" x14ac:dyDescent="0.25">
      <c r="G76" s="1"/>
      <c r="H76" s="1"/>
      <c r="I76" s="528"/>
      <c r="J76" s="529"/>
      <c r="K76" s="551"/>
    </row>
    <row r="77" spans="7:11" ht="15" hidden="1" x14ac:dyDescent="0.25">
      <c r="G77" s="1"/>
      <c r="H77" s="1"/>
      <c r="I77" s="528"/>
      <c r="J77" s="529"/>
      <c r="K77" s="551"/>
    </row>
    <row r="78" spans="7:11" ht="15" hidden="1" x14ac:dyDescent="0.25">
      <c r="G78" s="1"/>
      <c r="H78" s="1"/>
      <c r="I78" s="528"/>
      <c r="J78" s="529"/>
      <c r="K78" s="551"/>
    </row>
  </sheetData>
  <sheetProtection sheet="1" selectLockedCells="1"/>
  <mergeCells count="28">
    <mergeCell ref="N28:O28"/>
    <mergeCell ref="N29:O29"/>
    <mergeCell ref="N30:O30"/>
    <mergeCell ref="O32:P32"/>
    <mergeCell ref="O33:P33"/>
    <mergeCell ref="L4:U5"/>
    <mergeCell ref="M16:N16"/>
    <mergeCell ref="M17:N17"/>
    <mergeCell ref="M15:N15"/>
    <mergeCell ref="N31:O31"/>
    <mergeCell ref="K14:Q14"/>
    <mergeCell ref="M18:N18"/>
    <mergeCell ref="M19:N19"/>
    <mergeCell ref="O20:P20"/>
    <mergeCell ref="N21:O21"/>
    <mergeCell ref="N22:O22"/>
    <mergeCell ref="N23:O23"/>
    <mergeCell ref="N24:O24"/>
    <mergeCell ref="N25:O25"/>
    <mergeCell ref="N26:O26"/>
    <mergeCell ref="N27:O27"/>
    <mergeCell ref="O39:P39"/>
    <mergeCell ref="O40:P40"/>
    <mergeCell ref="O34:P34"/>
    <mergeCell ref="O35:P35"/>
    <mergeCell ref="O36:P36"/>
    <mergeCell ref="O37:P37"/>
    <mergeCell ref="O38:P38"/>
  </mergeCells>
  <printOptions horizontalCentered="1"/>
  <pageMargins left="0.5" right="0.5" top="0.5" bottom="0.5" header="0.5" footer="0.5"/>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F1E"/>
    <pageSetUpPr fitToPage="1"/>
  </sheetPr>
  <dimension ref="A1:O100"/>
  <sheetViews>
    <sheetView topLeftCell="A22" zoomScaleNormal="100" zoomScalePageLayoutView="30" workbookViewId="0">
      <selection activeCell="B30" sqref="B30"/>
    </sheetView>
  </sheetViews>
  <sheetFormatPr defaultColWidth="0" defaultRowHeight="14.25" zeroHeight="1" x14ac:dyDescent="0.2"/>
  <cols>
    <col min="1" max="1" width="75.625" style="42" customWidth="1"/>
    <col min="2" max="2" width="21.75" style="90" customWidth="1"/>
    <col min="3" max="3" width="25.625" style="90" customWidth="1"/>
    <col min="4" max="4" width="3.625" style="90" hidden="1" customWidth="1"/>
    <col min="5" max="5" width="18.5" style="90" hidden="1" customWidth="1"/>
    <col min="6" max="6" width="9" style="90" hidden="1" customWidth="1"/>
    <col min="7" max="7" width="114.875" style="90" hidden="1" customWidth="1"/>
    <col min="8" max="15" width="0" style="90" hidden="1" customWidth="1"/>
    <col min="16" max="16384" width="9" style="90" hidden="1"/>
  </cols>
  <sheetData>
    <row r="1" spans="1:14" ht="60" customHeight="1" x14ac:dyDescent="0.2">
      <c r="A1" s="39" t="s">
        <v>113</v>
      </c>
      <c r="B1" s="177"/>
      <c r="C1" s="177"/>
      <c r="D1" s="462"/>
      <c r="E1" s="462"/>
      <c r="F1" s="462"/>
      <c r="G1" s="462"/>
      <c r="H1" s="462"/>
      <c r="I1" s="462"/>
      <c r="J1" s="462"/>
      <c r="K1" s="462"/>
      <c r="L1" s="462"/>
      <c r="M1" s="462"/>
      <c r="N1" s="462"/>
    </row>
    <row r="2" spans="1:14" s="186" customFormat="1" ht="19.5" customHeight="1" x14ac:dyDescent="0.2">
      <c r="A2" s="145"/>
      <c r="B2" s="178"/>
      <c r="C2" s="178"/>
      <c r="D2" s="131"/>
      <c r="E2" s="131"/>
      <c r="F2" s="131"/>
      <c r="G2" s="131"/>
    </row>
    <row r="3" spans="1:14" s="187" customFormat="1" ht="35.1" customHeight="1" x14ac:dyDescent="0.2">
      <c r="A3" s="698" t="s">
        <v>114</v>
      </c>
      <c r="B3" s="698"/>
      <c r="C3" s="698"/>
    </row>
    <row r="4" spans="1:14" s="424" customFormat="1" ht="20.100000000000001" customHeight="1" x14ac:dyDescent="0.2">
      <c r="A4" s="265"/>
      <c r="B4" s="265"/>
      <c r="C4" s="202"/>
    </row>
    <row r="5" spans="1:14" s="12" customFormat="1" ht="30" customHeight="1" x14ac:dyDescent="0.2">
      <c r="A5" s="207" t="s">
        <v>115</v>
      </c>
      <c r="B5" s="208"/>
      <c r="C5" s="200"/>
      <c r="D5" s="185"/>
      <c r="E5" s="185"/>
      <c r="F5" s="185"/>
      <c r="G5" s="670"/>
      <c r="H5" s="670"/>
      <c r="I5" s="670"/>
      <c r="J5" s="670"/>
      <c r="K5" s="670"/>
      <c r="L5" s="670"/>
      <c r="M5" s="670"/>
      <c r="N5" s="670"/>
    </row>
    <row r="6" spans="1:14" s="12" customFormat="1" ht="20.100000000000001" customHeight="1" x14ac:dyDescent="0.2">
      <c r="A6" s="209" t="s">
        <v>116</v>
      </c>
      <c r="B6" s="210">
        <f>IF('Input Sheet'!B26="","",'Input Sheet'!B26)</f>
        <v>0.95</v>
      </c>
      <c r="C6" s="204" t="s">
        <v>117</v>
      </c>
      <c r="D6" s="670"/>
      <c r="E6" s="185"/>
      <c r="F6" s="670"/>
      <c r="G6" s="670"/>
      <c r="H6" s="670"/>
      <c r="I6" s="670"/>
      <c r="J6" s="670"/>
      <c r="K6" s="670"/>
      <c r="L6" s="670"/>
      <c r="M6" s="670"/>
      <c r="N6" s="670"/>
    </row>
    <row r="7" spans="1:14" s="12" customFormat="1" ht="20.100000000000001" customHeight="1" x14ac:dyDescent="0.2">
      <c r="A7" s="209" t="s">
        <v>118</v>
      </c>
      <c r="B7" s="210" t="str">
        <f>IF('Input Sheet'!B25="","",'Input Sheet'!B25)</f>
        <v/>
      </c>
      <c r="C7" s="201"/>
      <c r="D7" s="670"/>
      <c r="E7" s="185"/>
      <c r="F7" s="185"/>
      <c r="G7" s="670"/>
      <c r="H7" s="670"/>
      <c r="I7" s="670"/>
      <c r="J7" s="670"/>
      <c r="K7" s="670"/>
      <c r="L7" s="670"/>
      <c r="M7" s="670"/>
      <c r="N7" s="670"/>
    </row>
    <row r="8" spans="1:14" s="12" customFormat="1" ht="20.100000000000001" customHeight="1" x14ac:dyDescent="0.2">
      <c r="A8" s="211" t="s">
        <v>119</v>
      </c>
      <c r="B8" s="212" t="str">
        <f>IF(B6&lt;B7,"",B6-B7)</f>
        <v/>
      </c>
      <c r="C8" s="200"/>
      <c r="D8" s="185"/>
      <c r="E8" s="185"/>
      <c r="F8" s="185"/>
      <c r="G8" s="670"/>
      <c r="H8" s="670"/>
      <c r="I8" s="670"/>
      <c r="J8" s="670"/>
      <c r="K8" s="670"/>
      <c r="L8" s="670"/>
      <c r="M8" s="670"/>
      <c r="N8" s="670"/>
    </row>
    <row r="9" spans="1:14" s="12" customFormat="1" ht="50.1" customHeight="1" x14ac:dyDescent="0.2">
      <c r="A9" s="197"/>
      <c r="B9" s="200"/>
      <c r="C9" s="200"/>
      <c r="D9" s="185"/>
      <c r="E9" s="185"/>
      <c r="F9" s="185"/>
      <c r="G9" s="670"/>
      <c r="H9" s="670"/>
      <c r="I9" s="670"/>
      <c r="J9" s="670"/>
      <c r="K9" s="670"/>
      <c r="L9" s="670"/>
      <c r="M9" s="670"/>
      <c r="N9" s="670"/>
    </row>
    <row r="10" spans="1:14" s="187" customFormat="1" ht="35.1" customHeight="1" x14ac:dyDescent="0.2">
      <c r="A10" s="698" t="s">
        <v>120</v>
      </c>
      <c r="B10" s="698"/>
      <c r="C10" s="698"/>
      <c r="N10" s="187" t="s">
        <v>121</v>
      </c>
    </row>
    <row r="11" spans="1:14" s="424" customFormat="1" ht="20.100000000000001" customHeight="1" x14ac:dyDescent="0.2">
      <c r="A11" s="265"/>
      <c r="B11" s="265"/>
      <c r="C11" s="202"/>
    </row>
    <row r="12" spans="1:14" s="12" customFormat="1" ht="30" customHeight="1" x14ac:dyDescent="0.2">
      <c r="A12" s="182" t="s">
        <v>122</v>
      </c>
      <c r="B12" s="213"/>
      <c r="C12" s="200"/>
      <c r="D12" s="185"/>
      <c r="E12" s="185"/>
      <c r="F12" s="185"/>
      <c r="G12" s="670"/>
      <c r="H12" s="670"/>
      <c r="I12" s="670"/>
      <c r="J12" s="670"/>
      <c r="K12" s="670"/>
      <c r="L12" s="670"/>
      <c r="M12" s="670"/>
      <c r="N12" s="670"/>
    </row>
    <row r="13" spans="1:14" s="12" customFormat="1" ht="20.100000000000001" customHeight="1" x14ac:dyDescent="0.2">
      <c r="A13" s="137" t="s">
        <v>123</v>
      </c>
      <c r="B13" s="225" t="str">
        <f>B8</f>
        <v/>
      </c>
      <c r="C13" s="201"/>
      <c r="D13" s="670"/>
      <c r="E13" s="185"/>
      <c r="F13" s="185"/>
      <c r="G13" s="670"/>
      <c r="H13" s="670"/>
      <c r="I13" s="670"/>
      <c r="J13" s="670"/>
      <c r="K13" s="670"/>
      <c r="L13" s="670"/>
      <c r="M13" s="670"/>
      <c r="N13" s="670"/>
    </row>
    <row r="14" spans="1:14" s="12" customFormat="1" ht="20.100000000000001" customHeight="1" x14ac:dyDescent="0.2">
      <c r="A14" s="138" t="s">
        <v>124</v>
      </c>
      <c r="B14" s="222">
        <v>0.53</v>
      </c>
      <c r="C14" s="200"/>
      <c r="D14" s="185"/>
      <c r="E14" s="185"/>
      <c r="F14" s="670"/>
      <c r="G14" s="670"/>
      <c r="H14" s="670"/>
      <c r="I14" s="670"/>
      <c r="J14" s="670"/>
      <c r="K14" s="670"/>
      <c r="L14" s="670"/>
      <c r="M14" s="670"/>
      <c r="N14" s="670"/>
    </row>
    <row r="15" spans="1:14" s="12" customFormat="1" ht="20.100000000000001" customHeight="1" x14ac:dyDescent="0.2">
      <c r="A15" s="223" t="s">
        <v>125</v>
      </c>
      <c r="B15" s="224" t="str">
        <f>IF(B13="","",B13*B14)</f>
        <v/>
      </c>
      <c r="C15" s="199"/>
      <c r="D15" s="185"/>
      <c r="E15" s="185"/>
      <c r="F15" s="185"/>
      <c r="G15" s="670"/>
      <c r="H15" s="670"/>
      <c r="I15" s="670"/>
      <c r="J15" s="670"/>
      <c r="K15" s="670"/>
      <c r="L15" s="670"/>
      <c r="M15" s="670"/>
      <c r="N15" s="670"/>
    </row>
    <row r="16" spans="1:14" s="12" customFormat="1" ht="20.100000000000001" customHeight="1" x14ac:dyDescent="0.2">
      <c r="A16" s="197"/>
      <c r="B16" s="198"/>
      <c r="C16" s="199"/>
      <c r="D16" s="185"/>
      <c r="E16" s="185"/>
      <c r="F16" s="185"/>
      <c r="G16" s="670"/>
      <c r="H16" s="670"/>
      <c r="I16" s="670"/>
      <c r="J16" s="670"/>
      <c r="K16" s="670"/>
      <c r="L16" s="670"/>
      <c r="M16" s="670"/>
      <c r="N16" s="670"/>
    </row>
    <row r="17" spans="1:15" s="12" customFormat="1" ht="30" customHeight="1" x14ac:dyDescent="0.2">
      <c r="A17" s="181" t="s">
        <v>126</v>
      </c>
      <c r="B17" s="195"/>
      <c r="C17" s="200"/>
      <c r="D17" s="185"/>
      <c r="E17" s="185"/>
      <c r="F17" s="670"/>
      <c r="G17" s="670"/>
      <c r="H17" s="670"/>
      <c r="I17" s="670"/>
      <c r="J17" s="670"/>
      <c r="K17" s="670"/>
      <c r="L17" s="670"/>
      <c r="M17" s="670"/>
      <c r="N17" s="670"/>
      <c r="O17" s="670"/>
    </row>
    <row r="18" spans="1:15" s="12" customFormat="1" ht="20.100000000000001" customHeight="1" x14ac:dyDescent="0.2">
      <c r="A18" s="159" t="s">
        <v>123</v>
      </c>
      <c r="B18" s="221" t="str">
        <f>+B8</f>
        <v/>
      </c>
      <c r="C18" s="200"/>
      <c r="D18" s="185"/>
      <c r="E18" s="185"/>
      <c r="F18" s="669"/>
      <c r="G18" s="670"/>
      <c r="H18" s="670"/>
      <c r="I18" s="670"/>
      <c r="J18" s="670"/>
      <c r="K18" s="670"/>
      <c r="L18" s="670"/>
      <c r="M18" s="670"/>
      <c r="N18" s="670"/>
      <c r="O18" s="670"/>
    </row>
    <row r="19" spans="1:15" s="12" customFormat="1" ht="20.100000000000001" customHeight="1" x14ac:dyDescent="0.2">
      <c r="A19" s="138" t="s">
        <v>124</v>
      </c>
      <c r="B19" s="222">
        <v>0.12</v>
      </c>
      <c r="C19" s="201"/>
      <c r="D19" s="670"/>
      <c r="E19" s="185"/>
      <c r="F19" s="669"/>
      <c r="G19" s="670"/>
      <c r="H19" s="670"/>
      <c r="I19" s="670"/>
      <c r="J19" s="670"/>
      <c r="K19" s="670"/>
      <c r="L19" s="670"/>
      <c r="M19" s="670"/>
      <c r="N19" s="670"/>
      <c r="O19" s="670"/>
    </row>
    <row r="20" spans="1:15" s="12" customFormat="1" ht="20.100000000000001" customHeight="1" x14ac:dyDescent="0.2">
      <c r="A20" s="223" t="s">
        <v>127</v>
      </c>
      <c r="B20" s="224" t="str">
        <f>IF(B18="","",B18*B19)</f>
        <v/>
      </c>
      <c r="C20" s="200"/>
      <c r="D20" s="185"/>
      <c r="E20" s="185"/>
      <c r="F20" s="669"/>
      <c r="G20" s="670"/>
      <c r="H20" s="670"/>
      <c r="I20" s="670"/>
      <c r="J20" s="670"/>
      <c r="K20" s="670"/>
      <c r="L20" s="670"/>
      <c r="M20" s="670"/>
      <c r="N20" s="670"/>
      <c r="O20" s="670"/>
    </row>
    <row r="21" spans="1:15" s="12" customFormat="1" ht="50.1" customHeight="1" x14ac:dyDescent="0.2">
      <c r="A21" s="197"/>
      <c r="B21" s="200"/>
      <c r="C21" s="200"/>
      <c r="D21" s="185"/>
      <c r="E21" s="185"/>
      <c r="F21" s="669"/>
      <c r="G21" s="670"/>
      <c r="H21" s="670"/>
      <c r="I21" s="670"/>
      <c r="J21" s="670"/>
      <c r="K21" s="670"/>
      <c r="L21" s="670"/>
      <c r="M21" s="670"/>
      <c r="N21" s="670"/>
      <c r="O21" s="670"/>
    </row>
    <row r="22" spans="1:15" s="12" customFormat="1" ht="35.1" customHeight="1" x14ac:dyDescent="0.2">
      <c r="A22" s="699" t="s">
        <v>128</v>
      </c>
      <c r="B22" s="699"/>
      <c r="C22" s="699"/>
      <c r="D22" s="188"/>
      <c r="E22" s="188"/>
      <c r="F22" s="185"/>
      <c r="G22" s="185"/>
      <c r="H22" s="670"/>
      <c r="I22" s="670"/>
      <c r="J22" s="670"/>
      <c r="K22" s="670"/>
      <c r="L22" s="670"/>
      <c r="M22" s="670"/>
      <c r="N22" s="670"/>
      <c r="O22" s="670"/>
    </row>
    <row r="23" spans="1:15" s="12" customFormat="1" ht="20.100000000000001" customHeight="1" x14ac:dyDescent="0.2">
      <c r="A23" s="202"/>
      <c r="B23" s="203"/>
      <c r="C23" s="203"/>
      <c r="D23" s="188"/>
      <c r="E23" s="185"/>
      <c r="F23" s="185"/>
      <c r="G23" s="670"/>
      <c r="H23" s="670"/>
      <c r="I23" s="670"/>
      <c r="J23" s="670"/>
      <c r="K23" s="670"/>
      <c r="L23" s="670"/>
      <c r="M23" s="670"/>
      <c r="N23" s="670"/>
      <c r="O23" s="670"/>
    </row>
    <row r="24" spans="1:15" s="12" customFormat="1" ht="30" customHeight="1" x14ac:dyDescent="0.2">
      <c r="A24" s="214" t="s">
        <v>129</v>
      </c>
      <c r="B24" s="215"/>
      <c r="C24" s="204"/>
      <c r="D24" s="189"/>
      <c r="E24" s="185"/>
      <c r="F24" s="185"/>
      <c r="G24" s="670"/>
      <c r="H24" s="670"/>
      <c r="I24" s="670"/>
      <c r="J24" s="670"/>
      <c r="K24" s="670"/>
      <c r="L24" s="670"/>
      <c r="M24" s="670"/>
      <c r="N24" s="670"/>
      <c r="O24" s="670"/>
    </row>
    <row r="25" spans="1:15" s="12" customFormat="1" ht="20.100000000000001" customHeight="1" x14ac:dyDescent="0.2">
      <c r="A25" s="137" t="s">
        <v>107</v>
      </c>
      <c r="B25" s="218" t="str">
        <f>IF(B15="", "", B15)</f>
        <v/>
      </c>
      <c r="C25" s="201"/>
      <c r="D25" s="670"/>
      <c r="E25" s="185"/>
      <c r="F25" s="185"/>
      <c r="G25" s="670"/>
      <c r="H25" s="670"/>
      <c r="I25" s="670"/>
      <c r="J25" s="670"/>
      <c r="K25" s="670"/>
      <c r="L25" s="670"/>
      <c r="M25" s="670"/>
      <c r="N25" s="670"/>
      <c r="O25" s="670"/>
    </row>
    <row r="26" spans="1:15" s="12" customFormat="1" ht="20.100000000000001" customHeight="1" x14ac:dyDescent="0.2">
      <c r="A26" s="139" t="s">
        <v>108</v>
      </c>
      <c r="B26" s="220" t="str">
        <f>IF(B25="","", (B25*'Input Sheet'!I6*'Input Sheet'!B6)*100)</f>
        <v/>
      </c>
      <c r="C26" s="205"/>
      <c r="D26" s="190"/>
      <c r="E26" s="185"/>
      <c r="F26" s="695"/>
      <c r="G26" s="695"/>
      <c r="H26" s="695"/>
      <c r="I26" s="695"/>
      <c r="J26" s="695"/>
      <c r="K26" s="695"/>
      <c r="L26" s="695"/>
      <c r="M26" s="695"/>
      <c r="N26" s="695"/>
      <c r="O26" s="695"/>
    </row>
    <row r="27" spans="1:15" s="12" customFormat="1" ht="20.100000000000001" customHeight="1" x14ac:dyDescent="0.2">
      <c r="A27" s="191"/>
      <c r="B27" s="670"/>
      <c r="C27" s="201"/>
      <c r="D27" s="670"/>
      <c r="E27" s="185"/>
      <c r="F27" s="185"/>
      <c r="G27" s="670"/>
      <c r="H27" s="670"/>
      <c r="I27" s="670"/>
      <c r="J27" s="670"/>
      <c r="K27" s="670"/>
      <c r="L27" s="670"/>
      <c r="M27" s="670"/>
      <c r="N27" s="670"/>
      <c r="O27" s="670"/>
    </row>
    <row r="28" spans="1:15" s="12" customFormat="1" ht="30" customHeight="1" x14ac:dyDescent="0.2">
      <c r="A28" s="214" t="s">
        <v>109</v>
      </c>
      <c r="B28" s="215"/>
      <c r="C28" s="204"/>
      <c r="D28" s="189"/>
      <c r="E28" s="189"/>
      <c r="F28" s="185"/>
      <c r="G28" s="670"/>
      <c r="H28" s="670"/>
      <c r="I28" s="670"/>
      <c r="J28" s="670"/>
      <c r="K28" s="670"/>
      <c r="L28" s="670"/>
      <c r="M28" s="670"/>
      <c r="N28" s="670"/>
      <c r="O28" s="670"/>
    </row>
    <row r="29" spans="1:15" s="12" customFormat="1" ht="20.100000000000001" customHeight="1" x14ac:dyDescent="0.2">
      <c r="A29" s="137" t="s">
        <v>110</v>
      </c>
      <c r="B29" s="218" t="str">
        <f>IF(B20="", "", B20)</f>
        <v/>
      </c>
      <c r="C29" s="201"/>
      <c r="D29" s="670"/>
      <c r="E29" s="185"/>
      <c r="F29" s="185"/>
      <c r="G29" s="670"/>
      <c r="H29" s="670"/>
      <c r="I29" s="670"/>
      <c r="J29" s="670"/>
      <c r="K29" s="670"/>
      <c r="L29" s="670"/>
      <c r="M29" s="670"/>
      <c r="N29" s="670"/>
      <c r="O29" s="670"/>
    </row>
    <row r="30" spans="1:15" s="12" customFormat="1" ht="20.100000000000001" customHeight="1" x14ac:dyDescent="0.2">
      <c r="A30" s="139" t="s">
        <v>108</v>
      </c>
      <c r="B30" s="219" t="str">
        <f>IF( B29="", "", (B29*10*'Input Sheet'!B6)*100)</f>
        <v/>
      </c>
      <c r="C30" s="201"/>
      <c r="D30" s="670"/>
      <c r="E30" s="185"/>
      <c r="F30" s="696"/>
      <c r="G30" s="696"/>
      <c r="H30" s="696"/>
      <c r="I30" s="696"/>
      <c r="J30" s="696"/>
      <c r="K30" s="696"/>
      <c r="L30" s="696"/>
      <c r="M30" s="696"/>
      <c r="N30" s="696"/>
      <c r="O30" s="696"/>
    </row>
    <row r="31" spans="1:15" s="12" customFormat="1" ht="20.100000000000001" customHeight="1" x14ac:dyDescent="0.2">
      <c r="A31" s="193"/>
      <c r="B31" s="206"/>
      <c r="C31" s="205"/>
      <c r="D31" s="190"/>
      <c r="E31" s="185"/>
      <c r="F31" s="185"/>
      <c r="G31" s="670"/>
      <c r="H31" s="670"/>
      <c r="I31" s="670"/>
      <c r="J31" s="670"/>
      <c r="K31" s="670"/>
      <c r="L31" s="670"/>
      <c r="M31" s="670"/>
      <c r="N31" s="670"/>
      <c r="O31" s="670"/>
    </row>
    <row r="32" spans="1:15" s="12" customFormat="1" ht="48" customHeight="1" x14ac:dyDescent="0.2">
      <c r="A32" s="216" t="s">
        <v>111</v>
      </c>
      <c r="B32" s="217" t="str">
        <f>IF(AND((B26=""),(B30="")),"",(B26+B30))</f>
        <v/>
      </c>
      <c r="C32" s="501" t="str">
        <f>IF(B32="", "Well done!"&amp;CHAR(10)&amp;"You do not have a gap in this area", "")</f>
        <v>Well done!
You do not have a gap in this area</v>
      </c>
      <c r="D32" s="194"/>
      <c r="E32" s="194"/>
      <c r="F32" s="185"/>
      <c r="G32" s="670"/>
      <c r="H32" s="670"/>
      <c r="I32" s="670"/>
      <c r="J32" s="670"/>
      <c r="K32" s="670"/>
      <c r="L32" s="670"/>
      <c r="M32" s="670"/>
      <c r="N32" s="670"/>
      <c r="O32" s="670"/>
    </row>
    <row r="33" spans="1:7" s="12" customFormat="1" ht="20.100000000000001" customHeight="1" x14ac:dyDescent="0.2">
      <c r="A33" s="197"/>
      <c r="B33" s="200"/>
      <c r="C33" s="200"/>
      <c r="D33" s="185"/>
      <c r="E33" s="185"/>
      <c r="F33" s="185"/>
      <c r="G33" s="670"/>
    </row>
    <row r="34" spans="1:7" ht="54" customHeight="1" x14ac:dyDescent="0.2">
      <c r="A34" s="697" t="s">
        <v>130</v>
      </c>
      <c r="B34" s="697"/>
      <c r="C34" s="697"/>
      <c r="D34" s="131"/>
      <c r="E34" s="131"/>
      <c r="F34" s="131"/>
      <c r="G34" s="462"/>
    </row>
    <row r="35" spans="1:7" ht="15" x14ac:dyDescent="0.2">
      <c r="A35" s="145"/>
      <c r="B35" s="178"/>
      <c r="C35" s="178"/>
      <c r="D35" s="131"/>
      <c r="E35" s="131"/>
      <c r="F35" s="131"/>
      <c r="G35" s="131"/>
    </row>
    <row r="36" spans="1:7" ht="15" x14ac:dyDescent="0.2">
      <c r="A36" s="145"/>
      <c r="B36" s="178"/>
      <c r="C36" s="178"/>
      <c r="D36" s="131"/>
      <c r="E36" s="131"/>
      <c r="F36" s="131"/>
      <c r="G36" s="462"/>
    </row>
    <row r="37" spans="1:7" ht="15" hidden="1" x14ac:dyDescent="0.2">
      <c r="A37" s="145"/>
      <c r="B37" s="178"/>
      <c r="C37" s="178"/>
      <c r="D37" s="131"/>
      <c r="E37" s="131"/>
      <c r="F37" s="131"/>
      <c r="G37" s="462"/>
    </row>
    <row r="38" spans="1:7" ht="15" hidden="1" x14ac:dyDescent="0.2">
      <c r="A38" s="145"/>
      <c r="B38" s="178"/>
      <c r="C38" s="178"/>
      <c r="D38" s="131"/>
      <c r="E38" s="131"/>
      <c r="F38" s="131"/>
      <c r="G38" s="131"/>
    </row>
    <row r="39" spans="1:7" ht="11.25" hidden="1" customHeight="1" x14ac:dyDescent="0.2">
      <c r="A39" s="145"/>
      <c r="B39" s="178"/>
      <c r="C39" s="178"/>
      <c r="D39" s="131"/>
      <c r="E39" s="131"/>
      <c r="F39" s="131"/>
      <c r="G39" s="131"/>
    </row>
    <row r="40" spans="1:7" ht="11.25" hidden="1" customHeight="1" x14ac:dyDescent="0.2">
      <c r="A40" s="145"/>
      <c r="B40" s="178"/>
      <c r="C40" s="178"/>
      <c r="D40" s="131"/>
      <c r="E40" s="131"/>
      <c r="F40" s="131"/>
      <c r="G40" s="462"/>
    </row>
    <row r="41" spans="1:7" ht="11.25" hidden="1" customHeight="1" x14ac:dyDescent="0.2">
      <c r="A41" s="145"/>
      <c r="B41" s="178"/>
      <c r="C41" s="178"/>
      <c r="D41" s="131"/>
      <c r="E41" s="131"/>
      <c r="F41" s="131"/>
      <c r="G41" s="131"/>
    </row>
    <row r="42" spans="1:7" ht="11.25" customHeight="1" x14ac:dyDescent="0.2">
      <c r="A42" s="145"/>
      <c r="B42" s="178"/>
      <c r="C42" s="178"/>
      <c r="D42" s="131"/>
      <c r="E42" s="131"/>
      <c r="F42" s="131"/>
      <c r="G42" s="131"/>
    </row>
    <row r="43" spans="1:7" ht="11.25" customHeight="1" x14ac:dyDescent="0.2">
      <c r="A43" s="145"/>
      <c r="B43" s="178"/>
      <c r="C43" s="178"/>
      <c r="D43" s="131"/>
      <c r="E43" s="131"/>
      <c r="F43" s="131"/>
      <c r="G43" s="462"/>
    </row>
    <row r="44" spans="1:7" ht="11.25" customHeight="1" x14ac:dyDescent="0.2">
      <c r="A44" s="145"/>
      <c r="B44" s="178"/>
      <c r="C44" s="178"/>
      <c r="D44" s="131"/>
      <c r="E44" s="131"/>
      <c r="F44" s="131"/>
      <c r="G44" s="131"/>
    </row>
    <row r="45" spans="1:7" ht="11.25" customHeight="1" x14ac:dyDescent="0.2">
      <c r="A45" s="145"/>
      <c r="B45" s="178"/>
      <c r="C45" s="178"/>
      <c r="D45" s="131"/>
      <c r="E45" s="131"/>
      <c r="F45" s="131"/>
      <c r="G45" s="131"/>
    </row>
    <row r="46" spans="1:7" ht="11.25" customHeight="1" x14ac:dyDescent="0.2">
      <c r="A46" s="145"/>
      <c r="B46" s="178"/>
      <c r="C46" s="178"/>
      <c r="D46" s="131"/>
      <c r="E46" s="131"/>
      <c r="F46" s="131"/>
      <c r="G46" s="131"/>
    </row>
    <row r="47" spans="1:7" ht="14.25" customHeight="1" x14ac:dyDescent="0.2">
      <c r="A47" s="227"/>
      <c r="B47" s="228"/>
      <c r="C47" s="228"/>
      <c r="D47" s="131"/>
      <c r="E47" s="131"/>
      <c r="F47" s="131"/>
      <c r="G47" s="131"/>
    </row>
    <row r="48" spans="1:7" ht="14.25" customHeight="1" x14ac:dyDescent="0.2">
      <c r="A48" s="227"/>
      <c r="B48" s="228"/>
      <c r="C48" s="228"/>
      <c r="D48" s="131"/>
      <c r="E48" s="131"/>
      <c r="F48" s="131"/>
      <c r="G48" s="131"/>
    </row>
    <row r="49" spans="1:7" ht="14.25" customHeight="1" x14ac:dyDescent="0.2">
      <c r="A49" s="227"/>
      <c r="B49" s="228"/>
      <c r="C49" s="228"/>
      <c r="D49" s="131"/>
      <c r="E49" s="131"/>
      <c r="F49" s="131"/>
      <c r="G49" s="131"/>
    </row>
    <row r="50" spans="1:7" ht="14.25" customHeight="1" x14ac:dyDescent="0.2">
      <c r="A50" s="227"/>
      <c r="B50" s="228"/>
      <c r="C50" s="228"/>
      <c r="D50" s="131"/>
      <c r="E50" s="131"/>
      <c r="F50" s="131"/>
      <c r="G50" s="131"/>
    </row>
    <row r="51" spans="1:7" ht="11.25" hidden="1" customHeight="1" x14ac:dyDescent="0.2">
      <c r="A51" s="180"/>
      <c r="B51" s="131"/>
      <c r="C51" s="131"/>
      <c r="D51" s="131"/>
      <c r="E51" s="131"/>
      <c r="F51" s="131"/>
      <c r="G51" s="131"/>
    </row>
    <row r="52" spans="1:7" ht="11.25" hidden="1" customHeight="1" x14ac:dyDescent="0.2">
      <c r="A52" s="180"/>
      <c r="B52" s="131"/>
      <c r="C52" s="131"/>
      <c r="D52" s="131"/>
      <c r="E52" s="131"/>
      <c r="F52" s="131"/>
      <c r="G52" s="131"/>
    </row>
    <row r="53" spans="1:7" ht="11.25" hidden="1" customHeight="1" x14ac:dyDescent="0.2">
      <c r="B53" s="462"/>
      <c r="C53" s="462"/>
      <c r="D53" s="462"/>
      <c r="E53" s="462"/>
      <c r="F53" s="131"/>
      <c r="G53" s="131"/>
    </row>
    <row r="54" spans="1:7" ht="11.25" hidden="1" customHeight="1" x14ac:dyDescent="0.2">
      <c r="B54" s="462"/>
      <c r="C54" s="462"/>
      <c r="D54" s="462"/>
      <c r="E54" s="462"/>
      <c r="F54" s="131"/>
      <c r="G54" s="131"/>
    </row>
    <row r="55" spans="1:7" ht="11.25" hidden="1" customHeight="1" x14ac:dyDescent="0.2">
      <c r="B55" s="462"/>
      <c r="C55" s="462"/>
      <c r="D55" s="462"/>
      <c r="E55" s="462"/>
      <c r="F55" s="131"/>
      <c r="G55" s="131"/>
    </row>
    <row r="56" spans="1:7" ht="11.25" hidden="1" customHeight="1" x14ac:dyDescent="0.2">
      <c r="B56" s="462"/>
      <c r="C56" s="462"/>
      <c r="D56" s="462"/>
      <c r="E56" s="462"/>
      <c r="F56" s="131"/>
      <c r="G56" s="131"/>
    </row>
    <row r="57" spans="1:7" ht="11.25" hidden="1" customHeight="1" x14ac:dyDescent="0.2">
      <c r="B57" s="462"/>
      <c r="C57" s="462"/>
      <c r="D57" s="462"/>
      <c r="E57" s="462"/>
      <c r="F57" s="131"/>
      <c r="G57" s="131"/>
    </row>
    <row r="58" spans="1:7" ht="11.25" hidden="1" customHeight="1" x14ac:dyDescent="0.2">
      <c r="B58" s="462"/>
      <c r="C58" s="462"/>
      <c r="D58" s="462"/>
      <c r="E58" s="462"/>
      <c r="F58" s="131"/>
      <c r="G58" s="131"/>
    </row>
    <row r="59" spans="1:7" ht="11.25" hidden="1" customHeight="1" x14ac:dyDescent="0.2">
      <c r="B59" s="462"/>
      <c r="C59" s="462"/>
      <c r="D59" s="462"/>
      <c r="E59" s="462"/>
      <c r="F59" s="131"/>
      <c r="G59" s="131"/>
    </row>
    <row r="60" spans="1:7" ht="11.25" hidden="1" customHeight="1" x14ac:dyDescent="0.2">
      <c r="B60" s="462"/>
      <c r="C60" s="462"/>
      <c r="D60" s="462"/>
      <c r="E60" s="462"/>
      <c r="F60" s="131"/>
      <c r="G60" s="131"/>
    </row>
    <row r="61" spans="1:7" ht="11.25" hidden="1" customHeight="1" x14ac:dyDescent="0.2">
      <c r="B61" s="462"/>
      <c r="C61" s="462"/>
      <c r="D61" s="462"/>
      <c r="E61" s="462"/>
      <c r="F61" s="131"/>
      <c r="G61" s="131"/>
    </row>
    <row r="62" spans="1:7" ht="15" hidden="1" x14ac:dyDescent="0.2">
      <c r="B62" s="462"/>
      <c r="C62" s="462"/>
      <c r="D62" s="462"/>
      <c r="E62" s="462"/>
      <c r="F62" s="131"/>
      <c r="G62" s="131"/>
    </row>
    <row r="63" spans="1:7" hidden="1" x14ac:dyDescent="0.2">
      <c r="B63" s="462"/>
      <c r="C63" s="462"/>
      <c r="D63" s="462"/>
      <c r="E63" s="462"/>
      <c r="F63" s="462"/>
      <c r="G63" s="462"/>
    </row>
    <row r="64" spans="1:7" hidden="1" x14ac:dyDescent="0.2">
      <c r="B64" s="462"/>
      <c r="C64" s="462"/>
      <c r="D64" s="462"/>
      <c r="E64" s="462"/>
      <c r="F64" s="462"/>
      <c r="G64" s="462"/>
    </row>
    <row r="65" spans="6:7" hidden="1" x14ac:dyDescent="0.2">
      <c r="F65" s="462"/>
      <c r="G65" s="462"/>
    </row>
    <row r="66" spans="6:7" hidden="1" x14ac:dyDescent="0.2">
      <c r="F66" s="462"/>
      <c r="G66" s="462"/>
    </row>
    <row r="67" spans="6:7" ht="30" hidden="1" customHeight="1" x14ac:dyDescent="0.2">
      <c r="F67" s="462"/>
      <c r="G67" s="462"/>
    </row>
    <row r="68" spans="6:7" hidden="1" x14ac:dyDescent="0.2">
      <c r="F68" s="462"/>
      <c r="G68" s="462"/>
    </row>
    <row r="69" spans="6:7" hidden="1" x14ac:dyDescent="0.2">
      <c r="F69" s="462"/>
      <c r="G69" s="462"/>
    </row>
    <row r="70" spans="6:7" hidden="1" x14ac:dyDescent="0.2">
      <c r="F70" s="462"/>
      <c r="G70" s="462"/>
    </row>
    <row r="71" spans="6:7" hidden="1" x14ac:dyDescent="0.2">
      <c r="F71" s="462"/>
      <c r="G71" s="462"/>
    </row>
    <row r="72" spans="6:7" hidden="1" x14ac:dyDescent="0.2">
      <c r="F72" s="462"/>
      <c r="G72" s="462"/>
    </row>
    <row r="73" spans="6:7" hidden="1" x14ac:dyDescent="0.2">
      <c r="F73" s="462"/>
      <c r="G73" s="462"/>
    </row>
    <row r="74" spans="6:7" hidden="1" x14ac:dyDescent="0.2">
      <c r="F74" s="462"/>
      <c r="G74" s="462"/>
    </row>
    <row r="75" spans="6:7" hidden="1" x14ac:dyDescent="0.2">
      <c r="F75" s="462"/>
      <c r="G75" s="462"/>
    </row>
    <row r="76" spans="6:7" hidden="1" x14ac:dyDescent="0.2">
      <c r="F76" s="462"/>
      <c r="G76" s="462"/>
    </row>
    <row r="77" spans="6:7" ht="15" hidden="1" x14ac:dyDescent="0.2">
      <c r="F77" s="131"/>
      <c r="G77" s="131"/>
    </row>
    <row r="78" spans="6:7" ht="15" hidden="1" x14ac:dyDescent="0.2">
      <c r="F78" s="131"/>
      <c r="G78" s="131"/>
    </row>
    <row r="79" spans="6:7" ht="15" hidden="1" x14ac:dyDescent="0.2">
      <c r="F79" s="131"/>
      <c r="G79" s="131"/>
    </row>
    <row r="80" spans="6:7" ht="15" hidden="1" x14ac:dyDescent="0.2">
      <c r="F80" s="131"/>
      <c r="G80" s="131"/>
    </row>
    <row r="81" spans="6:7" ht="15" hidden="1" x14ac:dyDescent="0.2">
      <c r="F81" s="131"/>
      <c r="G81" s="131"/>
    </row>
    <row r="82" spans="6:7" ht="15" hidden="1" x14ac:dyDescent="0.2">
      <c r="F82" s="131"/>
      <c r="G82" s="131"/>
    </row>
    <row r="83" spans="6:7" ht="15" hidden="1" x14ac:dyDescent="0.2">
      <c r="F83" s="131"/>
      <c r="G83" s="131"/>
    </row>
    <row r="84" spans="6:7" ht="15" hidden="1" x14ac:dyDescent="0.2">
      <c r="F84" s="131"/>
      <c r="G84" s="131"/>
    </row>
    <row r="85" spans="6:7" ht="15" hidden="1" x14ac:dyDescent="0.2">
      <c r="F85" s="131"/>
      <c r="G85" s="131"/>
    </row>
    <row r="86" spans="6:7" ht="30" hidden="1" customHeight="1" x14ac:dyDescent="0.2">
      <c r="F86" s="131"/>
      <c r="G86" s="131"/>
    </row>
    <row r="87" spans="6:7" ht="15" hidden="1" x14ac:dyDescent="0.2">
      <c r="F87" s="131"/>
      <c r="G87" s="131"/>
    </row>
    <row r="88" spans="6:7" ht="15" hidden="1" x14ac:dyDescent="0.2">
      <c r="F88" s="131"/>
      <c r="G88" s="131"/>
    </row>
    <row r="89" spans="6:7" ht="15" hidden="1" x14ac:dyDescent="0.2">
      <c r="F89" s="131"/>
      <c r="G89" s="131"/>
    </row>
    <row r="90" spans="6:7" ht="15" hidden="1" x14ac:dyDescent="0.2">
      <c r="F90" s="131"/>
      <c r="G90" s="131"/>
    </row>
    <row r="91" spans="6:7" ht="15" hidden="1" x14ac:dyDescent="0.2">
      <c r="F91" s="131"/>
      <c r="G91" s="131"/>
    </row>
    <row r="92" spans="6:7" ht="15" hidden="1" x14ac:dyDescent="0.2">
      <c r="F92" s="131"/>
      <c r="G92" s="131"/>
    </row>
    <row r="93" spans="6:7" ht="15" hidden="1" x14ac:dyDescent="0.2">
      <c r="F93" s="131"/>
      <c r="G93" s="131"/>
    </row>
    <row r="94" spans="6:7" ht="15" hidden="1" x14ac:dyDescent="0.2">
      <c r="F94" s="131"/>
      <c r="G94" s="131"/>
    </row>
    <row r="95" spans="6:7" ht="15" hidden="1" x14ac:dyDescent="0.2">
      <c r="F95" s="131"/>
      <c r="G95" s="131"/>
    </row>
    <row r="96" spans="6:7" ht="15" hidden="1" x14ac:dyDescent="0.2">
      <c r="F96" s="131"/>
      <c r="G96" s="131"/>
    </row>
    <row r="97" spans="6:7" ht="15" hidden="1" x14ac:dyDescent="0.2">
      <c r="F97" s="131"/>
      <c r="G97" s="131"/>
    </row>
    <row r="98" spans="6:7" ht="15" hidden="1" x14ac:dyDescent="0.2">
      <c r="F98" s="131"/>
      <c r="G98" s="131"/>
    </row>
    <row r="99" spans="6:7" ht="15" hidden="1" x14ac:dyDescent="0.2">
      <c r="F99" s="131"/>
      <c r="G99" s="131"/>
    </row>
    <row r="100" spans="6:7" ht="15" hidden="1" x14ac:dyDescent="0.2">
      <c r="F100" s="131"/>
      <c r="G100" s="131"/>
    </row>
  </sheetData>
  <sheetProtection sheet="1" objects="1" scenarios="1" selectLockedCells="1"/>
  <mergeCells count="6">
    <mergeCell ref="F26:O26"/>
    <mergeCell ref="F30:O30"/>
    <mergeCell ref="A34:C34"/>
    <mergeCell ref="A3:C3"/>
    <mergeCell ref="A10:C10"/>
    <mergeCell ref="A22:C22"/>
  </mergeCells>
  <printOptions horizontalCentered="1"/>
  <pageMargins left="0.5" right="0.5" top="0.5" bottom="0.5" header="0.5" footer="0.5"/>
  <pageSetup paperSize="9" scale="69" fitToHeight="0" orientation="portrait" r:id="rId1"/>
  <colBreaks count="1" manualBreakCount="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5A71"/>
    <pageSetUpPr fitToPage="1"/>
  </sheetPr>
  <dimension ref="A1:AG58"/>
  <sheetViews>
    <sheetView topLeftCell="A9" zoomScaleNormal="100" zoomScalePageLayoutView="50" workbookViewId="0">
      <selection activeCell="H1" sqref="H1:H1048576"/>
    </sheetView>
  </sheetViews>
  <sheetFormatPr defaultColWidth="0" defaultRowHeight="14.25" zeroHeight="1" x14ac:dyDescent="0.2"/>
  <cols>
    <col min="1" max="1" width="70.375" customWidth="1"/>
    <col min="2" max="2" width="5.375" customWidth="1"/>
    <col min="3" max="3" width="12.625" customWidth="1"/>
    <col min="4" max="4" width="3.625" customWidth="1"/>
    <col min="5" max="5" width="12.625" customWidth="1"/>
    <col min="6" max="6" width="2.875" customWidth="1"/>
    <col min="7" max="7" width="21.625" customWidth="1"/>
    <col min="8" max="8" width="10.875" hidden="1" customWidth="1"/>
    <col min="9" max="9" width="9" style="535" hidden="1" customWidth="1"/>
    <col min="10" max="25" width="9" style="542" hidden="1" customWidth="1"/>
    <col min="26" max="26" width="7.875" style="542" hidden="1" customWidth="1"/>
    <col min="27" max="27" width="12.25" style="542" hidden="1" customWidth="1"/>
    <col min="28" max="28" width="30.625" style="542" hidden="1" customWidth="1"/>
    <col min="29" max="29" width="30.625" style="534" hidden="1" customWidth="1"/>
    <col min="30" max="30" width="23" hidden="1" customWidth="1"/>
    <col min="31" max="16384" width="9" hidden="1"/>
  </cols>
  <sheetData>
    <row r="1" spans="1:33" s="268" customFormat="1" ht="60" customHeight="1" x14ac:dyDescent="0.2">
      <c r="A1" s="34" t="s">
        <v>131</v>
      </c>
      <c r="B1" s="34"/>
      <c r="C1" s="34"/>
      <c r="D1" s="34"/>
      <c r="E1" s="34"/>
      <c r="F1" s="34"/>
      <c r="G1" s="34"/>
      <c r="H1" s="136"/>
      <c r="I1" s="558"/>
      <c r="J1" s="559"/>
      <c r="K1" s="559"/>
      <c r="L1" s="559"/>
      <c r="M1" s="559"/>
      <c r="N1" s="559"/>
      <c r="O1" s="559"/>
      <c r="P1" s="559"/>
      <c r="Q1" s="559"/>
      <c r="R1" s="559"/>
      <c r="S1" s="559"/>
      <c r="T1" s="559"/>
      <c r="U1" s="559"/>
      <c r="V1" s="559"/>
      <c r="W1" s="559"/>
      <c r="X1" s="559"/>
      <c r="Y1" s="559"/>
      <c r="Z1" s="559"/>
      <c r="AA1" s="559"/>
      <c r="AB1" s="559"/>
      <c r="AC1" s="564"/>
    </row>
    <row r="2" spans="1:33" ht="30" customHeight="1" x14ac:dyDescent="0.25">
      <c r="A2" s="178"/>
      <c r="B2" s="178"/>
      <c r="C2" s="178"/>
      <c r="D2" s="178"/>
      <c r="E2" s="178"/>
      <c r="F2" s="178"/>
      <c r="G2" s="178"/>
      <c r="H2" s="178"/>
      <c r="I2" s="528"/>
      <c r="J2" s="554"/>
      <c r="K2" s="554"/>
      <c r="L2" s="554"/>
      <c r="M2" s="554"/>
      <c r="N2" s="554"/>
      <c r="O2" s="554"/>
      <c r="P2" s="554"/>
      <c r="Q2" s="554"/>
      <c r="R2" s="554"/>
      <c r="S2" s="554"/>
      <c r="T2" s="554"/>
      <c r="U2" s="554"/>
      <c r="V2" s="554"/>
      <c r="W2" s="554"/>
      <c r="X2" s="554"/>
      <c r="Y2" s="554"/>
      <c r="Z2" s="554"/>
    </row>
    <row r="3" spans="1:33" ht="18" hidden="1" customHeight="1" x14ac:dyDescent="0.25">
      <c r="A3" s="462"/>
      <c r="B3" s="233" t="s">
        <v>132</v>
      </c>
      <c r="C3" s="234"/>
      <c r="D3" s="234"/>
      <c r="E3" s="234"/>
      <c r="F3" s="234"/>
      <c r="G3" s="234"/>
      <c r="H3" s="234"/>
      <c r="I3" s="528"/>
      <c r="J3" s="554"/>
      <c r="K3" s="554"/>
      <c r="L3" s="554"/>
      <c r="M3" s="554"/>
      <c r="N3" s="554"/>
      <c r="O3" s="554"/>
      <c r="P3" s="554"/>
      <c r="Q3" s="554"/>
      <c r="R3" s="554"/>
      <c r="S3" s="554"/>
      <c r="T3" s="554"/>
      <c r="U3" s="554"/>
      <c r="V3" s="554"/>
      <c r="W3" s="554"/>
      <c r="X3" s="554"/>
      <c r="Y3" s="554"/>
      <c r="Z3" s="554"/>
    </row>
    <row r="4" spans="1:33" ht="39" hidden="1" customHeight="1" x14ac:dyDescent="0.25">
      <c r="A4" s="131"/>
      <c r="B4" s="703" t="s">
        <v>68</v>
      </c>
      <c r="C4" s="703"/>
      <c r="D4" s="230" t="str">
        <f>IF('Input Sheet'!B29="","",'Input Sheet'!B29)</f>
        <v/>
      </c>
      <c r="E4" s="229"/>
      <c r="F4" s="704" t="s">
        <v>133</v>
      </c>
      <c r="G4" s="704"/>
      <c r="H4" s="704"/>
      <c r="I4" s="528"/>
      <c r="J4" s="554"/>
      <c r="K4" s="554"/>
      <c r="L4" s="554"/>
      <c r="M4" s="554"/>
      <c r="N4" s="554"/>
      <c r="O4" s="554"/>
      <c r="P4" s="554"/>
      <c r="Q4" s="554"/>
      <c r="R4" s="554"/>
      <c r="S4" s="554"/>
      <c r="T4" s="554"/>
      <c r="U4" s="554"/>
      <c r="V4" s="554"/>
      <c r="W4" s="554"/>
      <c r="X4" s="554"/>
      <c r="Y4" s="554"/>
      <c r="Z4" s="554"/>
    </row>
    <row r="5" spans="1:33" ht="39" hidden="1" customHeight="1" x14ac:dyDescent="0.25">
      <c r="A5" s="462"/>
      <c r="B5" s="703" t="s">
        <v>69</v>
      </c>
      <c r="C5" s="703"/>
      <c r="D5" s="230" t="str">
        <f>IF('Input Sheet'!B30="","",'Input Sheet'!B30)</f>
        <v/>
      </c>
      <c r="E5" s="229"/>
      <c r="F5" s="704" t="s">
        <v>134</v>
      </c>
      <c r="G5" s="704"/>
      <c r="H5" s="704"/>
      <c r="I5" s="528"/>
      <c r="J5" s="554"/>
      <c r="K5" s="554"/>
      <c r="L5" s="554"/>
      <c r="M5" s="554"/>
      <c r="N5" s="554"/>
      <c r="O5" s="554"/>
      <c r="P5" s="554"/>
      <c r="Q5" s="554"/>
      <c r="R5" s="554"/>
      <c r="S5" s="554"/>
      <c r="T5" s="554"/>
      <c r="U5" s="554"/>
      <c r="V5" s="554"/>
      <c r="W5" s="554"/>
      <c r="X5" s="554"/>
      <c r="Y5" s="554"/>
      <c r="Z5" s="554"/>
    </row>
    <row r="6" spans="1:33" ht="39" hidden="1" customHeight="1" x14ac:dyDescent="0.25">
      <c r="A6" s="462"/>
      <c r="B6" s="703" t="s">
        <v>135</v>
      </c>
      <c r="C6" s="703"/>
      <c r="D6" s="231" t="str">
        <f>IF(D5="","",D4-D5)</f>
        <v/>
      </c>
      <c r="E6" s="179"/>
      <c r="F6" s="704"/>
      <c r="G6" s="704"/>
      <c r="H6" s="704"/>
      <c r="I6" s="528"/>
      <c r="J6" s="554"/>
      <c r="K6" s="554"/>
      <c r="L6" s="554"/>
      <c r="M6" s="554"/>
      <c r="N6" s="554"/>
      <c r="O6" s="554"/>
      <c r="P6" s="554"/>
      <c r="Q6" s="554"/>
      <c r="R6" s="554"/>
      <c r="S6" s="554"/>
      <c r="T6" s="554"/>
      <c r="U6" s="554"/>
      <c r="V6" s="554"/>
      <c r="W6" s="554"/>
      <c r="X6" s="554"/>
      <c r="Y6" s="554"/>
      <c r="Z6" s="554"/>
    </row>
    <row r="7" spans="1:33" ht="39" hidden="1" customHeight="1" x14ac:dyDescent="0.25">
      <c r="A7" s="462"/>
      <c r="B7" s="703" t="s">
        <v>136</v>
      </c>
      <c r="C7" s="703"/>
      <c r="D7" s="232" t="e">
        <f>IF('Input Sheet'!#REF!="","",'Input Sheet'!#REF!)</f>
        <v>#REF!</v>
      </c>
      <c r="E7" s="229"/>
      <c r="F7" s="704" t="s">
        <v>137</v>
      </c>
      <c r="G7" s="704"/>
      <c r="H7" s="704"/>
      <c r="I7" s="528"/>
      <c r="J7" s="554"/>
      <c r="K7" s="554"/>
      <c r="L7" s="554"/>
      <c r="M7" s="554"/>
      <c r="N7" s="554"/>
      <c r="O7" s="554"/>
      <c r="P7" s="554"/>
      <c r="Q7" s="554"/>
      <c r="R7" s="554"/>
      <c r="S7" s="554"/>
      <c r="T7" s="554"/>
      <c r="U7" s="554"/>
      <c r="V7" s="554"/>
      <c r="W7" s="554"/>
      <c r="X7" s="554"/>
      <c r="Y7" s="554"/>
      <c r="Z7" s="554"/>
    </row>
    <row r="8" spans="1:33" ht="18" hidden="1" customHeight="1" x14ac:dyDescent="0.25">
      <c r="A8" s="131"/>
      <c r="B8" s="462"/>
      <c r="C8" s="462"/>
      <c r="D8" s="462"/>
      <c r="E8" s="179"/>
      <c r="F8" s="179"/>
      <c r="G8" s="179"/>
      <c r="H8" s="179"/>
      <c r="I8" s="528"/>
      <c r="J8" s="554"/>
      <c r="K8" s="554"/>
      <c r="L8" s="554"/>
      <c r="M8" s="554"/>
      <c r="N8" s="554"/>
      <c r="O8" s="554"/>
      <c r="P8" s="554"/>
      <c r="Q8" s="554"/>
      <c r="R8" s="554"/>
      <c r="S8" s="554"/>
      <c r="T8" s="554"/>
      <c r="U8" s="554"/>
      <c r="V8" s="554"/>
      <c r="W8" s="554"/>
      <c r="X8" s="554"/>
      <c r="Y8" s="554"/>
      <c r="Z8" s="554"/>
    </row>
    <row r="9" spans="1:33" s="2" customFormat="1" ht="35.1" customHeight="1" x14ac:dyDescent="0.2">
      <c r="A9" s="698" t="s">
        <v>138</v>
      </c>
      <c r="B9" s="698"/>
      <c r="C9" s="698"/>
      <c r="D9" s="698"/>
      <c r="E9" s="698"/>
      <c r="F9" s="698"/>
      <c r="G9" s="266"/>
      <c r="H9" s="267"/>
      <c r="I9" s="560"/>
      <c r="J9" s="561"/>
      <c r="K9" s="561"/>
      <c r="L9" s="561"/>
      <c r="M9" s="561"/>
      <c r="N9" s="561"/>
      <c r="O9" s="561"/>
      <c r="P9" s="561"/>
      <c r="Q9" s="561"/>
      <c r="R9" s="561"/>
      <c r="S9" s="561"/>
      <c r="T9" s="561"/>
      <c r="U9" s="561"/>
      <c r="V9" s="561"/>
      <c r="W9" s="561"/>
      <c r="X9" s="561"/>
      <c r="Y9" s="561"/>
      <c r="Z9" s="561"/>
      <c r="AA9" s="565"/>
      <c r="AB9" s="565"/>
      <c r="AC9" s="566"/>
    </row>
    <row r="10" spans="1:33" ht="20.100000000000001" customHeight="1" x14ac:dyDescent="0.2">
      <c r="A10" s="84"/>
      <c r="B10" s="84"/>
      <c r="C10" s="84"/>
      <c r="D10" s="84"/>
      <c r="E10" s="84"/>
      <c r="F10" s="84"/>
      <c r="G10" s="84"/>
      <c r="H10" s="84"/>
      <c r="AA10" s="17" t="s">
        <v>139</v>
      </c>
      <c r="AB10" s="17"/>
      <c r="AC10" s="17"/>
    </row>
    <row r="11" spans="1:33" ht="30" customHeight="1" x14ac:dyDescent="0.25">
      <c r="A11" s="255" t="s">
        <v>140</v>
      </c>
      <c r="B11" s="260"/>
      <c r="C11" s="373"/>
      <c r="D11" s="84"/>
      <c r="E11" s="84"/>
      <c r="F11" s="84"/>
      <c r="G11" s="84"/>
      <c r="H11" s="84"/>
      <c r="I11" s="528"/>
      <c r="J11" s="554"/>
      <c r="K11" s="554"/>
      <c r="L11" s="554"/>
      <c r="M11" s="554"/>
      <c r="N11" s="554"/>
      <c r="O11" s="554"/>
      <c r="P11" s="554"/>
      <c r="Q11" s="554"/>
      <c r="R11" s="554"/>
      <c r="S11" s="554"/>
      <c r="T11" s="554"/>
      <c r="U11" s="554"/>
      <c r="V11" s="554"/>
      <c r="W11" s="554"/>
      <c r="X11" s="554"/>
      <c r="Y11" s="554"/>
      <c r="AA11" s="700" t="s">
        <v>141</v>
      </c>
      <c r="AB11" s="701" t="s">
        <v>142</v>
      </c>
      <c r="AC11" s="701" t="s">
        <v>143</v>
      </c>
      <c r="AD11" s="13"/>
      <c r="AE11" s="13"/>
    </row>
    <row r="12" spans="1:33" ht="20.100000000000001" customHeight="1" x14ac:dyDescent="0.25">
      <c r="A12" s="243" t="s">
        <v>144</v>
      </c>
      <c r="B12" s="244"/>
      <c r="C12" s="246" t="str">
        <f>IF(D6="","",D6)</f>
        <v/>
      </c>
      <c r="D12" s="178"/>
      <c r="E12" s="84"/>
      <c r="F12" s="84"/>
      <c r="G12" s="84"/>
      <c r="H12" s="84"/>
      <c r="I12" s="528"/>
      <c r="J12" s="554"/>
      <c r="K12" s="554"/>
      <c r="L12" s="554"/>
      <c r="M12" s="554"/>
      <c r="N12" s="554"/>
      <c r="O12" s="554"/>
      <c r="P12" s="554"/>
      <c r="Q12" s="554"/>
      <c r="R12" s="554"/>
      <c r="S12" s="554"/>
      <c r="T12" s="554"/>
      <c r="U12" s="554"/>
      <c r="V12" s="554"/>
      <c r="W12" s="554"/>
      <c r="X12" s="554"/>
      <c r="Y12" s="554"/>
      <c r="AA12" s="700"/>
      <c r="AB12" s="701"/>
      <c r="AC12" s="701"/>
    </row>
    <row r="13" spans="1:33" ht="20.100000000000001" customHeight="1" x14ac:dyDescent="0.25">
      <c r="A13" s="178"/>
      <c r="B13" s="178"/>
      <c r="C13" s="178"/>
      <c r="D13" s="178"/>
      <c r="E13" s="178"/>
      <c r="F13" s="178"/>
      <c r="G13" s="178"/>
      <c r="H13" s="178"/>
      <c r="I13" s="528"/>
      <c r="J13" s="554"/>
      <c r="K13" s="554"/>
      <c r="L13" s="554"/>
      <c r="M13" s="554"/>
      <c r="N13" s="554"/>
      <c r="O13" s="554"/>
      <c r="P13" s="554"/>
      <c r="Q13" s="554"/>
      <c r="R13" s="554"/>
      <c r="S13" s="554"/>
      <c r="T13" s="554"/>
      <c r="U13" s="554"/>
      <c r="V13" s="554"/>
      <c r="W13" s="554"/>
      <c r="X13" s="554"/>
      <c r="Y13" s="554"/>
      <c r="AA13" s="674" t="s">
        <v>145</v>
      </c>
      <c r="AB13" s="19">
        <v>0</v>
      </c>
      <c r="AC13" s="19">
        <v>0</v>
      </c>
    </row>
    <row r="14" spans="1:33" ht="20.100000000000001" customHeight="1" x14ac:dyDescent="0.25">
      <c r="A14" s="255" t="s">
        <v>146</v>
      </c>
      <c r="B14" s="391"/>
      <c r="C14" s="391"/>
      <c r="D14" s="391"/>
      <c r="E14" s="392"/>
      <c r="F14" s="391"/>
      <c r="G14" s="393"/>
      <c r="H14" s="149"/>
      <c r="I14" s="528"/>
      <c r="J14" s="554"/>
      <c r="K14" s="554"/>
      <c r="L14" s="554"/>
      <c r="M14" s="554"/>
      <c r="N14" s="554"/>
      <c r="O14" s="554"/>
      <c r="P14" s="554"/>
      <c r="Q14" s="554"/>
      <c r="R14" s="554"/>
      <c r="S14" s="554"/>
      <c r="T14" s="554"/>
      <c r="U14" s="554"/>
      <c r="V14" s="554"/>
      <c r="W14" s="554"/>
      <c r="X14" s="554"/>
      <c r="Y14" s="554"/>
      <c r="AA14" s="20" t="s">
        <v>147</v>
      </c>
      <c r="AB14" s="21">
        <v>-0.02</v>
      </c>
      <c r="AC14" s="21">
        <v>0.01</v>
      </c>
      <c r="AF14" s="13"/>
      <c r="AG14" s="13"/>
    </row>
    <row r="15" spans="1:33" ht="20.100000000000001" customHeight="1" x14ac:dyDescent="0.25">
      <c r="A15" s="242" t="s">
        <v>148</v>
      </c>
      <c r="B15" s="247"/>
      <c r="C15" s="248">
        <f>-(IF(C12&gt;1.5,AB18,(IF(C12&gt;1.25,AB17,(IF(C12&gt;1,AB16,(IF(C12&gt;0.75,AB15,(IF(C12&gt;0.5,AB14,(IF(C12&lt;0.49,AB13,"NA"))))))))))))</f>
        <v>0.06</v>
      </c>
      <c r="D15" s="249"/>
      <c r="E15" s="248"/>
      <c r="F15" s="247"/>
      <c r="G15" s="250"/>
      <c r="H15" s="156"/>
      <c r="I15" s="528"/>
      <c r="J15" s="554"/>
      <c r="K15" s="554"/>
      <c r="L15" s="554"/>
      <c r="M15" s="554"/>
      <c r="N15" s="554"/>
      <c r="O15" s="554"/>
      <c r="P15" s="554"/>
      <c r="Q15" s="554"/>
      <c r="R15" s="554"/>
      <c r="S15" s="554"/>
      <c r="T15" s="554"/>
      <c r="U15" s="554"/>
      <c r="V15" s="554"/>
      <c r="W15" s="554"/>
      <c r="X15" s="554"/>
      <c r="Y15" s="554"/>
      <c r="AA15" s="674" t="s">
        <v>149</v>
      </c>
      <c r="AB15" s="19">
        <v>-0.03</v>
      </c>
      <c r="AC15" s="19">
        <v>0.02</v>
      </c>
    </row>
    <row r="16" spans="1:33" ht="30" customHeight="1" x14ac:dyDescent="0.25">
      <c r="A16" s="245" t="s">
        <v>150</v>
      </c>
      <c r="B16" s="251"/>
      <c r="C16" s="252">
        <f>(IF(C12&gt;1.5,AC18,(IF(C12&gt;1.25,AC17,(IF(C12&gt;1,AC16,(IF(C12&gt;0.75,AC15,(IF(C12&gt;0.5,AC14,(IF(C12&lt;0.49,AC13,"NA"))))))))))))</f>
        <v>0.05</v>
      </c>
      <c r="D16" s="253"/>
      <c r="E16" s="252"/>
      <c r="F16" s="251"/>
      <c r="G16" s="254"/>
      <c r="H16" s="156"/>
      <c r="I16" s="528"/>
      <c r="J16" s="554"/>
      <c r="K16" s="554"/>
      <c r="L16" s="554"/>
      <c r="M16" s="554"/>
      <c r="N16" s="554"/>
      <c r="O16" s="554"/>
      <c r="P16" s="554"/>
      <c r="Q16" s="554"/>
      <c r="R16" s="554"/>
      <c r="S16" s="554"/>
      <c r="T16" s="554"/>
      <c r="U16" s="554"/>
      <c r="V16" s="554"/>
      <c r="W16" s="554"/>
      <c r="X16" s="554"/>
      <c r="Y16" s="554"/>
      <c r="AA16" s="20" t="s">
        <v>151</v>
      </c>
      <c r="AB16" s="21">
        <v>-0.04</v>
      </c>
      <c r="AC16" s="21">
        <v>0.03</v>
      </c>
    </row>
    <row r="17" spans="1:29" ht="20.100000000000001" customHeight="1" x14ac:dyDescent="0.25">
      <c r="A17" s="84"/>
      <c r="B17" s="84"/>
      <c r="C17" s="84"/>
      <c r="D17" s="235"/>
      <c r="E17" s="84"/>
      <c r="F17" s="84"/>
      <c r="G17" s="84"/>
      <c r="H17" s="178"/>
      <c r="I17" s="528"/>
      <c r="J17" s="554"/>
      <c r="K17" s="554"/>
      <c r="L17" s="554"/>
      <c r="M17" s="554"/>
      <c r="N17" s="554"/>
      <c r="O17" s="554"/>
      <c r="P17" s="554"/>
      <c r="Q17" s="554"/>
      <c r="R17" s="554"/>
      <c r="S17" s="554"/>
      <c r="T17" s="554"/>
      <c r="U17" s="554"/>
      <c r="V17" s="554"/>
      <c r="W17" s="554"/>
      <c r="X17" s="554"/>
      <c r="Y17" s="554"/>
      <c r="AA17" s="20" t="s">
        <v>152</v>
      </c>
      <c r="AB17" s="21">
        <v>-0.05</v>
      </c>
      <c r="AC17" s="21">
        <v>0.04</v>
      </c>
    </row>
    <row r="18" spans="1:29" ht="20.100000000000001" customHeight="1" x14ac:dyDescent="0.2">
      <c r="A18" s="699" t="s">
        <v>153</v>
      </c>
      <c r="B18" s="699"/>
      <c r="C18" s="698"/>
      <c r="D18" s="698"/>
      <c r="E18" s="698"/>
      <c r="F18" s="698"/>
      <c r="G18" s="671"/>
      <c r="H18" s="265"/>
      <c r="AA18" s="20" t="s">
        <v>154</v>
      </c>
      <c r="AB18" s="21">
        <v>-0.06</v>
      </c>
      <c r="AC18" s="21">
        <v>0.05</v>
      </c>
    </row>
    <row r="19" spans="1:29" ht="50.1" customHeight="1" x14ac:dyDescent="0.25">
      <c r="A19" s="178"/>
      <c r="B19" s="178"/>
      <c r="C19" s="178"/>
      <c r="D19" s="178"/>
      <c r="E19" s="178"/>
      <c r="F19" s="178"/>
      <c r="G19" s="178"/>
      <c r="H19" s="178"/>
      <c r="I19" s="528"/>
      <c r="J19" s="554"/>
      <c r="K19" s="554"/>
      <c r="L19" s="554"/>
      <c r="M19" s="554"/>
      <c r="N19" s="554"/>
      <c r="O19" s="554"/>
      <c r="P19" s="554"/>
      <c r="Q19" s="554"/>
      <c r="R19" s="554"/>
      <c r="S19" s="554"/>
      <c r="T19" s="554"/>
      <c r="U19" s="554"/>
      <c r="V19" s="554"/>
      <c r="W19" s="554"/>
      <c r="X19" s="554"/>
      <c r="Y19" s="554"/>
      <c r="AA19" s="540"/>
      <c r="AB19" s="540"/>
      <c r="AC19" s="525"/>
    </row>
    <row r="20" spans="1:29" ht="35.1" customHeight="1" x14ac:dyDescent="0.25">
      <c r="A20" s="255" t="s">
        <v>129</v>
      </c>
      <c r="B20" s="391"/>
      <c r="C20" s="393"/>
      <c r="D20" s="178"/>
      <c r="E20" s="178"/>
      <c r="F20" s="178"/>
      <c r="G20" s="178"/>
      <c r="H20" s="178"/>
      <c r="I20" s="528"/>
      <c r="J20" s="554"/>
      <c r="K20" s="554"/>
      <c r="L20" s="554"/>
      <c r="M20" s="554"/>
      <c r="N20" s="554"/>
      <c r="O20" s="554"/>
      <c r="P20" s="554"/>
      <c r="Q20" s="554"/>
      <c r="R20" s="554"/>
      <c r="S20" s="554"/>
      <c r="T20" s="554"/>
      <c r="U20" s="554"/>
      <c r="V20" s="554"/>
      <c r="W20" s="554"/>
      <c r="X20" s="554"/>
      <c r="Y20" s="554"/>
      <c r="Z20" s="554"/>
    </row>
    <row r="21" spans="1:29" ht="20.100000000000001" customHeight="1" x14ac:dyDescent="0.25">
      <c r="A21" s="242" t="s">
        <v>107</v>
      </c>
      <c r="B21" s="256"/>
      <c r="C21" s="263" t="str">
        <f>IF(C12="", "", C15)</f>
        <v/>
      </c>
      <c r="D21" s="236"/>
      <c r="E21" s="236"/>
      <c r="F21" s="236"/>
      <c r="G21" s="236"/>
      <c r="H21" s="236"/>
      <c r="I21" s="528"/>
      <c r="J21" s="554"/>
      <c r="K21" s="554"/>
      <c r="L21" s="554"/>
      <c r="M21" s="554"/>
      <c r="N21" s="554"/>
      <c r="O21" s="554"/>
      <c r="P21" s="554"/>
      <c r="Q21" s="554"/>
      <c r="R21" s="554"/>
      <c r="S21" s="554"/>
      <c r="T21" s="554"/>
      <c r="U21" s="554"/>
      <c r="V21" s="554"/>
      <c r="W21" s="554"/>
      <c r="X21" s="554"/>
      <c r="Y21" s="554"/>
    </row>
    <row r="22" spans="1:29" ht="30" customHeight="1" x14ac:dyDescent="0.25">
      <c r="A22" s="245" t="s">
        <v>108</v>
      </c>
      <c r="B22" s="257"/>
      <c r="C22" s="264" t="str">
        <f>IF(C21="","",(C21*'Input Sheet'!I6*'Input Sheet'!B5)*100)</f>
        <v/>
      </c>
      <c r="D22" s="84"/>
      <c r="E22" s="84"/>
      <c r="F22" s="84"/>
      <c r="G22" s="84"/>
      <c r="H22" s="84"/>
      <c r="I22" s="528"/>
      <c r="J22" s="554"/>
      <c r="K22" s="554"/>
      <c r="L22" s="554"/>
      <c r="M22" s="554"/>
      <c r="N22" s="554"/>
      <c r="O22" s="554"/>
      <c r="P22" s="554"/>
      <c r="Q22" s="554"/>
      <c r="R22" s="554"/>
      <c r="S22" s="554"/>
      <c r="T22" s="554"/>
      <c r="U22" s="554"/>
      <c r="V22" s="554"/>
      <c r="W22" s="554"/>
      <c r="X22" s="554"/>
      <c r="Y22" s="554"/>
    </row>
    <row r="23" spans="1:29" ht="20.100000000000001" customHeight="1" x14ac:dyDescent="0.25">
      <c r="A23" s="179"/>
      <c r="B23" s="240"/>
      <c r="C23" s="124"/>
      <c r="D23" s="84"/>
      <c r="E23" s="241" t="str">
        <f>IF(C28=0, "Your current performance in this area is above target - great work!", "")</f>
        <v/>
      </c>
      <c r="F23" s="84"/>
      <c r="G23" s="84"/>
      <c r="H23" s="237"/>
      <c r="I23" s="562"/>
      <c r="J23" s="563"/>
      <c r="K23" s="563"/>
      <c r="L23" s="563"/>
      <c r="M23" s="563"/>
      <c r="N23" s="563"/>
      <c r="O23" s="563"/>
      <c r="P23" s="563"/>
      <c r="Q23" s="563"/>
      <c r="R23" s="563"/>
      <c r="S23" s="563"/>
      <c r="T23" s="563"/>
      <c r="U23" s="563"/>
      <c r="V23" s="563"/>
      <c r="W23" s="563"/>
      <c r="X23" s="563"/>
      <c r="Y23" s="563"/>
    </row>
    <row r="24" spans="1:29" ht="20.100000000000001" customHeight="1" x14ac:dyDescent="0.25">
      <c r="A24" s="255" t="s">
        <v>109</v>
      </c>
      <c r="B24" s="394"/>
      <c r="C24" s="395"/>
      <c r="D24" s="238"/>
      <c r="E24" s="84"/>
      <c r="F24" s="238"/>
      <c r="G24" s="238"/>
      <c r="H24" s="238"/>
      <c r="I24" s="528"/>
      <c r="J24" s="554"/>
      <c r="K24" s="554"/>
      <c r="L24" s="554"/>
      <c r="M24" s="554"/>
      <c r="N24" s="554"/>
      <c r="O24" s="554"/>
      <c r="P24" s="554"/>
      <c r="Q24" s="554"/>
      <c r="R24" s="554"/>
      <c r="S24" s="554"/>
      <c r="T24" s="554"/>
      <c r="U24" s="554"/>
      <c r="V24" s="554"/>
      <c r="W24" s="554"/>
      <c r="X24" s="554"/>
      <c r="Y24" s="554"/>
    </row>
    <row r="25" spans="1:29" ht="20.100000000000001" customHeight="1" x14ac:dyDescent="0.25">
      <c r="A25" s="242" t="s">
        <v>110</v>
      </c>
      <c r="B25" s="258"/>
      <c r="C25" s="261" t="str">
        <f>IF(C12="", "", C16)</f>
        <v/>
      </c>
      <c r="D25" s="84"/>
      <c r="E25" s="84"/>
      <c r="F25" s="84"/>
      <c r="G25" s="84"/>
      <c r="H25" s="84"/>
      <c r="I25" s="528"/>
      <c r="J25" s="554"/>
      <c r="K25" s="554"/>
      <c r="L25" s="554"/>
      <c r="M25" s="554"/>
      <c r="N25" s="554"/>
      <c r="O25" s="554"/>
      <c r="P25" s="554"/>
      <c r="Q25" s="554"/>
      <c r="R25" s="554"/>
      <c r="S25" s="554"/>
      <c r="T25" s="554"/>
      <c r="U25" s="554"/>
      <c r="V25" s="554"/>
      <c r="W25" s="554"/>
      <c r="X25" s="554"/>
      <c r="Y25" s="554"/>
    </row>
    <row r="26" spans="1:29" ht="30" customHeight="1" x14ac:dyDescent="0.25">
      <c r="A26" s="245" t="s">
        <v>108</v>
      </c>
      <c r="B26" s="259"/>
      <c r="C26" s="262" t="str">
        <f>IF(C25="","",(C25*10*'Input Sheet'!B5)*100)</f>
        <v/>
      </c>
      <c r="D26" s="236"/>
      <c r="E26" s="236"/>
      <c r="F26" s="236"/>
      <c r="G26" s="236"/>
      <c r="H26" s="236"/>
      <c r="I26" s="528"/>
      <c r="J26" s="554"/>
      <c r="K26" s="554"/>
      <c r="L26" s="554"/>
      <c r="M26" s="554"/>
      <c r="N26" s="554"/>
      <c r="O26" s="554"/>
      <c r="P26" s="554"/>
      <c r="Q26" s="554"/>
      <c r="R26" s="554"/>
      <c r="S26" s="554"/>
      <c r="T26" s="554"/>
      <c r="U26" s="554"/>
      <c r="V26" s="554"/>
      <c r="W26" s="554"/>
      <c r="X26" s="554"/>
      <c r="Y26" s="554"/>
    </row>
    <row r="27" spans="1:29" ht="20.100000000000001" customHeight="1" x14ac:dyDescent="0.25">
      <c r="A27" s="462"/>
      <c r="B27" s="84"/>
      <c r="C27" s="124"/>
      <c r="D27" s="84"/>
      <c r="E27" s="702" t="str">
        <f>IF(C28="","Well done!"&amp;CHAR(10)&amp;"You do not have a gap in this area", "")</f>
        <v>Well done!
You do not have a gap in this area</v>
      </c>
      <c r="F27" s="702"/>
      <c r="G27" s="702"/>
      <c r="H27" s="84"/>
      <c r="I27" s="528"/>
      <c r="J27" s="554"/>
      <c r="K27" s="554"/>
      <c r="L27" s="554"/>
      <c r="M27" s="554"/>
      <c r="N27" s="554"/>
      <c r="O27" s="554"/>
      <c r="P27" s="554"/>
      <c r="Q27" s="554"/>
      <c r="R27" s="554"/>
      <c r="S27" s="554"/>
      <c r="T27" s="554"/>
      <c r="U27" s="554"/>
      <c r="V27" s="554"/>
      <c r="W27" s="554"/>
      <c r="X27" s="554"/>
      <c r="Y27" s="554"/>
    </row>
    <row r="28" spans="1:29" ht="20.100000000000001" customHeight="1" x14ac:dyDescent="0.25">
      <c r="A28" s="255" t="s">
        <v>111</v>
      </c>
      <c r="B28" s="260"/>
      <c r="C28" s="627" t="str">
        <f>IF(AND((C22=""),(C26="")),"",(C22+C26))</f>
        <v/>
      </c>
      <c r="D28" s="84"/>
      <c r="E28" s="702"/>
      <c r="F28" s="702"/>
      <c r="G28" s="702"/>
      <c r="H28" s="237"/>
      <c r="I28" s="528"/>
      <c r="J28" s="554"/>
      <c r="K28" s="554"/>
      <c r="L28" s="554"/>
      <c r="M28" s="554"/>
      <c r="N28" s="554"/>
      <c r="O28" s="554"/>
      <c r="P28" s="554"/>
      <c r="Q28" s="554"/>
      <c r="R28" s="554"/>
      <c r="S28" s="554"/>
      <c r="T28" s="554"/>
      <c r="U28" s="554"/>
      <c r="V28" s="554"/>
      <c r="W28" s="554"/>
      <c r="X28" s="554"/>
      <c r="Y28" s="554"/>
    </row>
    <row r="29" spans="1:29" ht="20.100000000000001" customHeight="1" x14ac:dyDescent="0.25">
      <c r="A29" s="239"/>
      <c r="B29" s="239"/>
      <c r="C29" s="239"/>
      <c r="D29" s="239"/>
      <c r="E29" s="239"/>
      <c r="F29" s="239"/>
      <c r="G29" s="239"/>
      <c r="H29" s="239"/>
      <c r="I29" s="528"/>
      <c r="J29" s="554"/>
      <c r="K29" s="554"/>
      <c r="L29" s="554"/>
      <c r="M29" s="554"/>
      <c r="N29" s="554"/>
      <c r="O29" s="554"/>
      <c r="P29" s="554"/>
      <c r="Q29" s="554"/>
      <c r="R29" s="554"/>
      <c r="S29" s="554"/>
      <c r="T29" s="554"/>
      <c r="U29" s="554"/>
      <c r="V29" s="554"/>
      <c r="W29" s="554"/>
      <c r="X29" s="554"/>
      <c r="Y29" s="554"/>
    </row>
    <row r="30" spans="1:29" ht="30" customHeight="1" x14ac:dyDescent="0.25">
      <c r="A30" s="84"/>
      <c r="B30" s="84"/>
      <c r="C30" s="84"/>
      <c r="D30" s="84"/>
      <c r="E30" s="84"/>
      <c r="F30" s="84"/>
      <c r="G30" s="84"/>
      <c r="H30" s="84"/>
      <c r="I30" s="528"/>
      <c r="J30" s="554"/>
      <c r="K30" s="554"/>
      <c r="L30" s="554"/>
      <c r="M30" s="554"/>
      <c r="N30" s="554"/>
      <c r="O30" s="554"/>
      <c r="P30" s="554"/>
      <c r="Q30" s="554"/>
      <c r="R30" s="554"/>
      <c r="S30" s="554"/>
      <c r="T30" s="554"/>
      <c r="U30" s="554"/>
      <c r="V30" s="554"/>
      <c r="W30" s="554"/>
      <c r="X30" s="554"/>
      <c r="Y30" s="554"/>
    </row>
    <row r="31" spans="1:29" ht="20.100000000000001" customHeight="1" x14ac:dyDescent="0.25">
      <c r="A31" s="236"/>
      <c r="B31" s="236"/>
      <c r="C31" s="236"/>
      <c r="D31" s="236"/>
      <c r="E31" s="236"/>
      <c r="F31" s="236"/>
      <c r="G31" s="236"/>
      <c r="H31" s="236"/>
      <c r="I31" s="528"/>
      <c r="J31" s="554"/>
      <c r="K31" s="554"/>
      <c r="L31" s="554"/>
      <c r="M31" s="554"/>
      <c r="N31" s="554"/>
      <c r="O31" s="554"/>
      <c r="P31" s="554"/>
      <c r="Q31" s="554"/>
      <c r="R31" s="554"/>
      <c r="S31" s="554"/>
      <c r="T31" s="554"/>
      <c r="U31" s="554"/>
      <c r="V31" s="554"/>
      <c r="W31" s="554"/>
      <c r="X31" s="554"/>
      <c r="Y31" s="554"/>
      <c r="Z31" s="554"/>
    </row>
    <row r="32" spans="1:29" ht="20.100000000000001" hidden="1" customHeight="1" x14ac:dyDescent="0.25">
      <c r="A32" s="84"/>
      <c r="B32" s="84"/>
      <c r="C32" s="84"/>
      <c r="D32" s="84"/>
      <c r="E32" s="84"/>
      <c r="F32" s="84"/>
      <c r="G32" s="84"/>
      <c r="H32" s="462"/>
      <c r="I32" s="528"/>
      <c r="J32" s="554"/>
      <c r="K32" s="554"/>
      <c r="L32" s="554"/>
      <c r="M32" s="554"/>
      <c r="N32" s="554"/>
      <c r="O32" s="554"/>
      <c r="P32" s="554"/>
      <c r="Q32" s="554"/>
      <c r="R32" s="554"/>
      <c r="S32" s="554"/>
      <c r="T32" s="554"/>
      <c r="U32" s="554"/>
      <c r="V32" s="554"/>
      <c r="W32" s="554"/>
      <c r="X32" s="554"/>
      <c r="Y32" s="554"/>
      <c r="Z32" s="554"/>
    </row>
    <row r="33" spans="1:26" ht="20.100000000000001" hidden="1" customHeight="1" x14ac:dyDescent="0.25">
      <c r="A33" s="178"/>
      <c r="B33" s="84"/>
      <c r="C33" s="84"/>
      <c r="D33" s="269"/>
      <c r="E33" s="270"/>
      <c r="F33" s="269"/>
      <c r="G33" s="84"/>
      <c r="H33" s="462"/>
      <c r="I33" s="528"/>
      <c r="J33" s="554"/>
      <c r="K33" s="554"/>
      <c r="L33" s="554"/>
      <c r="M33" s="554"/>
      <c r="N33" s="554"/>
      <c r="O33" s="554"/>
      <c r="P33" s="554"/>
      <c r="Q33" s="554"/>
      <c r="R33" s="554"/>
      <c r="S33" s="554"/>
      <c r="T33" s="554"/>
      <c r="U33" s="554"/>
      <c r="V33" s="554"/>
      <c r="W33" s="554"/>
      <c r="X33" s="554"/>
      <c r="Y33" s="554"/>
      <c r="Z33" s="554"/>
    </row>
    <row r="34" spans="1:26" ht="20.100000000000001" hidden="1" customHeight="1" x14ac:dyDescent="0.25">
      <c r="A34" s="178"/>
      <c r="B34" s="178"/>
      <c r="C34" s="178"/>
      <c r="D34" s="178"/>
      <c r="E34" s="178"/>
      <c r="F34" s="178"/>
      <c r="G34" s="178"/>
      <c r="H34" s="131"/>
      <c r="I34" s="528"/>
      <c r="J34" s="554"/>
      <c r="K34" s="554"/>
      <c r="L34" s="554"/>
      <c r="M34" s="554"/>
      <c r="N34" s="554"/>
      <c r="O34" s="554"/>
      <c r="P34" s="554"/>
      <c r="Q34" s="554"/>
      <c r="R34" s="554"/>
      <c r="S34" s="554"/>
      <c r="T34" s="554"/>
      <c r="U34" s="554"/>
      <c r="V34" s="554"/>
      <c r="W34" s="554"/>
      <c r="X34" s="554"/>
      <c r="Y34" s="554"/>
      <c r="Z34" s="554"/>
    </row>
    <row r="35" spans="1:26" ht="20.100000000000001" hidden="1" customHeight="1" x14ac:dyDescent="0.25">
      <c r="A35" s="176"/>
      <c r="B35" s="176"/>
      <c r="C35" s="176"/>
      <c r="D35" s="176"/>
      <c r="E35" s="176"/>
      <c r="F35" s="176"/>
      <c r="G35" s="176"/>
      <c r="H35" s="1"/>
      <c r="I35" s="528"/>
      <c r="J35" s="554"/>
      <c r="K35" s="554"/>
      <c r="L35" s="554"/>
      <c r="M35" s="554"/>
      <c r="N35" s="554"/>
      <c r="O35" s="554"/>
      <c r="P35" s="554"/>
      <c r="Q35" s="554"/>
      <c r="R35" s="554"/>
      <c r="S35" s="554"/>
      <c r="T35" s="554"/>
      <c r="U35" s="554"/>
      <c r="V35" s="554"/>
      <c r="W35" s="554"/>
      <c r="X35" s="554"/>
      <c r="Y35" s="554"/>
      <c r="Z35" s="554"/>
    </row>
    <row r="36" spans="1:26" ht="15" hidden="1" x14ac:dyDescent="0.25">
      <c r="A36" s="176"/>
      <c r="B36" s="176"/>
      <c r="C36" s="176"/>
      <c r="D36" s="176"/>
      <c r="E36" s="176"/>
      <c r="F36" s="176"/>
      <c r="G36" s="176"/>
      <c r="H36" s="1"/>
      <c r="I36" s="528"/>
      <c r="J36" s="554"/>
      <c r="K36" s="554"/>
      <c r="L36" s="554"/>
      <c r="M36" s="554"/>
      <c r="N36" s="554"/>
      <c r="O36" s="554"/>
      <c r="P36" s="554"/>
      <c r="Q36" s="554"/>
      <c r="R36" s="554"/>
      <c r="S36" s="554"/>
      <c r="T36" s="554"/>
      <c r="U36" s="554"/>
      <c r="V36" s="554"/>
      <c r="W36" s="554"/>
      <c r="X36" s="554"/>
      <c r="Y36" s="554"/>
      <c r="Z36" s="554"/>
    </row>
    <row r="37" spans="1:26" ht="15" hidden="1" x14ac:dyDescent="0.25">
      <c r="A37" s="31"/>
      <c r="B37" s="31"/>
      <c r="C37" s="31"/>
      <c r="D37" s="31"/>
      <c r="E37" s="31"/>
      <c r="F37" s="31"/>
      <c r="G37" s="31"/>
      <c r="I37" s="528"/>
      <c r="J37" s="554"/>
      <c r="K37" s="554"/>
      <c r="L37" s="554"/>
      <c r="M37" s="554"/>
      <c r="N37" s="554"/>
      <c r="O37" s="554"/>
      <c r="P37" s="554"/>
      <c r="Q37" s="554"/>
      <c r="R37" s="554"/>
      <c r="S37" s="554"/>
      <c r="T37" s="554"/>
      <c r="U37" s="554"/>
      <c r="V37" s="554"/>
      <c r="W37" s="554"/>
      <c r="X37" s="554"/>
      <c r="Y37" s="554"/>
      <c r="Z37" s="554"/>
    </row>
    <row r="38" spans="1:26" ht="15" hidden="1" x14ac:dyDescent="0.25">
      <c r="A38" s="31"/>
      <c r="B38" s="31"/>
      <c r="C38" s="31"/>
      <c r="D38" s="31"/>
      <c r="E38" s="31"/>
      <c r="F38" s="31"/>
      <c r="G38" s="31"/>
      <c r="I38" s="528"/>
      <c r="J38" s="554"/>
      <c r="K38" s="554"/>
      <c r="L38" s="554"/>
      <c r="M38" s="554"/>
      <c r="N38" s="554"/>
      <c r="O38" s="554"/>
      <c r="P38" s="554"/>
      <c r="Q38" s="554"/>
      <c r="R38" s="554"/>
      <c r="S38" s="554"/>
      <c r="T38" s="554"/>
      <c r="U38" s="554"/>
      <c r="V38" s="554"/>
      <c r="W38" s="554"/>
      <c r="X38" s="554"/>
      <c r="Y38" s="554"/>
      <c r="Z38" s="554"/>
    </row>
    <row r="39" spans="1:26" ht="23.25" hidden="1" customHeight="1" x14ac:dyDescent="0.25">
      <c r="A39" s="31"/>
      <c r="B39" s="31"/>
      <c r="C39" s="31"/>
      <c r="D39" s="31"/>
      <c r="E39" s="31"/>
      <c r="F39" s="31"/>
      <c r="G39" s="31"/>
      <c r="I39" s="528"/>
      <c r="J39" s="554"/>
      <c r="K39" s="554"/>
      <c r="L39" s="554"/>
      <c r="M39" s="554"/>
      <c r="N39" s="554"/>
      <c r="O39" s="554"/>
      <c r="P39" s="554"/>
      <c r="Q39" s="554"/>
      <c r="R39" s="554"/>
      <c r="S39" s="554"/>
      <c r="T39" s="554"/>
      <c r="U39" s="554"/>
      <c r="V39" s="554"/>
      <c r="W39" s="554"/>
      <c r="X39" s="554"/>
      <c r="Y39" s="554"/>
      <c r="Z39" s="554"/>
    </row>
    <row r="40" spans="1:26" ht="15" hidden="1" x14ac:dyDescent="0.25">
      <c r="A40" s="31"/>
      <c r="B40" s="31"/>
      <c r="C40" s="31"/>
      <c r="D40" s="31"/>
      <c r="E40" s="31"/>
      <c r="F40" s="31"/>
      <c r="G40" s="31"/>
      <c r="I40" s="528"/>
      <c r="J40" s="554"/>
      <c r="K40" s="554"/>
      <c r="L40" s="554"/>
      <c r="M40" s="554"/>
      <c r="N40" s="554"/>
      <c r="O40" s="554"/>
      <c r="P40" s="554"/>
      <c r="Q40" s="554"/>
      <c r="R40" s="554"/>
      <c r="S40" s="554"/>
      <c r="T40" s="554"/>
      <c r="U40" s="554"/>
      <c r="V40" s="554"/>
      <c r="W40" s="554"/>
      <c r="X40" s="554"/>
      <c r="Y40" s="554"/>
      <c r="Z40" s="554"/>
    </row>
    <row r="41" spans="1:26" ht="15" hidden="1" customHeight="1" x14ac:dyDescent="0.25">
      <c r="A41" s="31"/>
      <c r="B41" s="31"/>
      <c r="C41" s="31"/>
      <c r="D41" s="31"/>
      <c r="E41" s="31"/>
      <c r="F41" s="31"/>
      <c r="G41" s="31"/>
      <c r="I41" s="528"/>
      <c r="J41" s="554"/>
      <c r="K41" s="554"/>
      <c r="L41" s="554"/>
      <c r="M41" s="554"/>
      <c r="N41" s="554"/>
      <c r="O41" s="554"/>
      <c r="P41" s="554"/>
      <c r="Q41" s="554"/>
      <c r="R41" s="554"/>
      <c r="S41" s="554"/>
      <c r="T41" s="554"/>
      <c r="U41" s="554"/>
      <c r="V41" s="554"/>
      <c r="W41" s="554"/>
      <c r="X41" s="554"/>
      <c r="Y41" s="554"/>
      <c r="Z41" s="554"/>
    </row>
    <row r="42" spans="1:26" ht="15" hidden="1" x14ac:dyDescent="0.25">
      <c r="A42" s="31"/>
      <c r="B42" s="31"/>
      <c r="C42" s="31"/>
      <c r="D42" s="31"/>
      <c r="E42" s="31"/>
      <c r="F42" s="31"/>
      <c r="G42" s="31"/>
      <c r="I42" s="528"/>
      <c r="J42" s="554"/>
      <c r="K42" s="554"/>
      <c r="L42" s="554"/>
      <c r="M42" s="554"/>
      <c r="N42" s="554"/>
      <c r="O42" s="554"/>
      <c r="P42" s="554"/>
      <c r="Q42" s="554"/>
      <c r="R42" s="554"/>
      <c r="S42" s="554"/>
      <c r="T42" s="554"/>
      <c r="U42" s="554"/>
      <c r="V42" s="554"/>
      <c r="W42" s="554"/>
      <c r="X42" s="554"/>
      <c r="Y42" s="554"/>
      <c r="Z42" s="554"/>
    </row>
    <row r="43" spans="1:26" ht="15" hidden="1" x14ac:dyDescent="0.25">
      <c r="A43" s="31"/>
      <c r="B43" s="31"/>
      <c r="C43" s="31"/>
      <c r="D43" s="31"/>
      <c r="E43" s="31"/>
      <c r="F43" s="31"/>
      <c r="G43" s="31"/>
      <c r="I43" s="528"/>
      <c r="J43" s="554"/>
      <c r="K43" s="554"/>
      <c r="L43" s="554"/>
      <c r="M43" s="554"/>
      <c r="N43" s="554"/>
      <c r="O43" s="554"/>
      <c r="P43" s="554"/>
      <c r="Q43" s="554"/>
      <c r="R43" s="554"/>
      <c r="S43" s="554"/>
      <c r="T43" s="554"/>
      <c r="U43" s="554"/>
      <c r="V43" s="554"/>
      <c r="W43" s="554"/>
      <c r="X43" s="554"/>
      <c r="Y43" s="554"/>
      <c r="Z43" s="554"/>
    </row>
    <row r="44" spans="1:26" ht="15" hidden="1" x14ac:dyDescent="0.25">
      <c r="A44" s="31"/>
      <c r="B44" s="31"/>
      <c r="C44" s="31"/>
      <c r="D44" s="31"/>
      <c r="E44" s="31"/>
      <c r="F44" s="31"/>
      <c r="G44" s="31"/>
      <c r="I44" s="528"/>
      <c r="J44" s="554"/>
      <c r="K44" s="554"/>
      <c r="L44" s="554"/>
      <c r="M44" s="554"/>
      <c r="N44" s="554"/>
      <c r="O44" s="554"/>
      <c r="P44" s="554"/>
      <c r="Q44" s="554"/>
      <c r="R44" s="554"/>
      <c r="S44" s="554"/>
      <c r="T44" s="554"/>
      <c r="U44" s="554"/>
      <c r="V44" s="554"/>
      <c r="W44" s="554"/>
      <c r="X44" s="554"/>
      <c r="Y44" s="554"/>
      <c r="Z44" s="554"/>
    </row>
    <row r="45" spans="1:26" ht="15" x14ac:dyDescent="0.25">
      <c r="A45" s="31"/>
      <c r="B45" s="31"/>
      <c r="C45" s="31"/>
      <c r="D45" s="31"/>
      <c r="E45" s="31"/>
      <c r="F45" s="31"/>
      <c r="G45" s="31"/>
      <c r="I45" s="528"/>
      <c r="J45" s="554"/>
      <c r="K45" s="554"/>
      <c r="L45" s="554"/>
      <c r="M45" s="554"/>
      <c r="N45" s="554"/>
      <c r="O45" s="554"/>
      <c r="P45" s="554"/>
      <c r="Q45" s="554"/>
      <c r="R45" s="554"/>
      <c r="S45" s="554"/>
      <c r="T45" s="554"/>
      <c r="U45" s="554"/>
      <c r="V45" s="554"/>
      <c r="W45" s="554"/>
      <c r="X45" s="554"/>
      <c r="Y45" s="554"/>
      <c r="Z45" s="554"/>
    </row>
    <row r="46" spans="1:26" ht="30" customHeight="1" x14ac:dyDescent="0.25">
      <c r="A46" s="36"/>
      <c r="B46" s="36"/>
      <c r="C46" s="36"/>
      <c r="D46" s="36"/>
      <c r="E46" s="36"/>
      <c r="F46" s="36"/>
      <c r="G46" s="36"/>
      <c r="I46" s="528"/>
      <c r="J46" s="554"/>
      <c r="K46" s="554"/>
      <c r="L46" s="554"/>
      <c r="M46" s="554"/>
      <c r="N46" s="554"/>
      <c r="O46" s="554"/>
      <c r="P46" s="554"/>
      <c r="Q46" s="554"/>
      <c r="R46" s="554"/>
      <c r="S46" s="554"/>
      <c r="T46" s="554"/>
      <c r="U46" s="554"/>
      <c r="V46" s="554"/>
      <c r="W46" s="554"/>
      <c r="X46" s="554"/>
      <c r="Y46" s="554"/>
      <c r="Z46" s="554"/>
    </row>
    <row r="47" spans="1:26" ht="15" x14ac:dyDescent="0.25">
      <c r="A47" s="36"/>
      <c r="B47" s="36"/>
      <c r="C47" s="36"/>
      <c r="D47" s="36"/>
      <c r="E47" s="36"/>
      <c r="F47" s="36"/>
      <c r="G47" s="36"/>
      <c r="I47" s="528"/>
      <c r="J47" s="554"/>
      <c r="K47" s="554"/>
      <c r="L47" s="554"/>
      <c r="M47" s="554"/>
      <c r="N47" s="554"/>
      <c r="O47" s="554"/>
      <c r="P47" s="554"/>
      <c r="Q47" s="554"/>
      <c r="R47" s="554"/>
      <c r="S47" s="554"/>
      <c r="T47" s="554"/>
      <c r="U47" s="554"/>
      <c r="V47" s="554"/>
      <c r="W47" s="554"/>
      <c r="X47" s="554"/>
      <c r="Y47" s="554"/>
      <c r="Z47" s="554"/>
    </row>
    <row r="48" spans="1:26" ht="14.25" customHeight="1" x14ac:dyDescent="0.25">
      <c r="A48" s="36"/>
      <c r="B48" s="36"/>
      <c r="C48" s="36"/>
      <c r="D48" s="36"/>
      <c r="E48" s="36"/>
      <c r="F48" s="36"/>
      <c r="G48" s="36"/>
      <c r="I48" s="528"/>
      <c r="J48" s="554"/>
      <c r="K48" s="554"/>
      <c r="L48" s="554"/>
      <c r="M48" s="554"/>
      <c r="N48" s="554"/>
      <c r="O48" s="554"/>
      <c r="P48" s="554"/>
      <c r="Q48" s="554"/>
      <c r="R48" s="554"/>
      <c r="S48" s="554"/>
      <c r="T48" s="554"/>
      <c r="U48" s="554"/>
      <c r="V48" s="554"/>
      <c r="W48" s="554"/>
      <c r="X48" s="554"/>
      <c r="Y48" s="554"/>
      <c r="Z48" s="554"/>
    </row>
    <row r="49" spans="1:26" ht="14.25" customHeight="1" x14ac:dyDescent="0.25">
      <c r="A49" s="36"/>
      <c r="B49" s="36"/>
      <c r="C49" s="36"/>
      <c r="D49" s="36"/>
      <c r="E49" s="36"/>
      <c r="F49" s="36"/>
      <c r="G49" s="36"/>
      <c r="I49" s="528"/>
      <c r="J49" s="554"/>
      <c r="K49" s="554"/>
      <c r="L49" s="554"/>
      <c r="M49" s="554"/>
      <c r="N49" s="554"/>
      <c r="O49" s="554"/>
      <c r="P49" s="554"/>
      <c r="Q49" s="554"/>
      <c r="R49" s="554"/>
      <c r="S49" s="554"/>
      <c r="T49" s="554"/>
      <c r="U49" s="554"/>
      <c r="V49" s="554"/>
      <c r="W49" s="554"/>
      <c r="X49" s="554"/>
      <c r="Y49" s="554"/>
      <c r="Z49" s="554"/>
    </row>
    <row r="50" spans="1:26" ht="14.25" hidden="1" customHeight="1" x14ac:dyDescent="0.25">
      <c r="I50" s="528"/>
      <c r="J50" s="554"/>
      <c r="K50" s="554"/>
      <c r="L50" s="554"/>
      <c r="M50" s="554"/>
      <c r="N50" s="554"/>
      <c r="O50" s="554"/>
      <c r="P50" s="554"/>
      <c r="Q50" s="554"/>
      <c r="R50" s="554"/>
      <c r="S50" s="554"/>
      <c r="T50" s="554"/>
      <c r="U50" s="554"/>
      <c r="V50" s="554"/>
      <c r="W50" s="554"/>
      <c r="X50" s="554"/>
      <c r="Y50" s="554"/>
      <c r="Z50" s="554"/>
    </row>
    <row r="51" spans="1:26" ht="14.25" hidden="1" customHeight="1" x14ac:dyDescent="0.25">
      <c r="I51" s="528"/>
      <c r="J51" s="554"/>
      <c r="K51" s="554"/>
      <c r="L51" s="554"/>
      <c r="M51" s="554"/>
      <c r="N51" s="554"/>
      <c r="O51" s="554"/>
      <c r="P51" s="554"/>
      <c r="Q51" s="554"/>
      <c r="R51" s="554"/>
      <c r="S51" s="554"/>
      <c r="T51" s="554"/>
      <c r="U51" s="554"/>
      <c r="V51" s="554"/>
      <c r="W51" s="554"/>
      <c r="X51" s="554"/>
      <c r="Y51" s="554"/>
      <c r="Z51" s="554"/>
    </row>
    <row r="52" spans="1:26" ht="14.25" hidden="1" customHeight="1" x14ac:dyDescent="0.25">
      <c r="I52" s="528"/>
      <c r="J52" s="554"/>
      <c r="K52" s="554"/>
      <c r="L52" s="554"/>
      <c r="M52" s="554"/>
      <c r="N52" s="554"/>
      <c r="O52" s="554"/>
      <c r="P52" s="554"/>
      <c r="Q52" s="554"/>
      <c r="R52" s="554"/>
      <c r="S52" s="554"/>
      <c r="T52" s="554"/>
      <c r="U52" s="554"/>
      <c r="V52" s="554"/>
      <c r="W52" s="554"/>
      <c r="X52" s="554"/>
      <c r="Y52" s="554"/>
      <c r="Z52" s="554"/>
    </row>
    <row r="53" spans="1:26" ht="15" hidden="1" x14ac:dyDescent="0.25">
      <c r="I53" s="528"/>
      <c r="J53" s="554"/>
      <c r="K53" s="554"/>
      <c r="L53" s="554"/>
      <c r="M53" s="554"/>
      <c r="N53" s="554"/>
      <c r="O53" s="554"/>
      <c r="P53" s="554"/>
      <c r="Q53" s="554"/>
      <c r="R53" s="554"/>
      <c r="S53" s="554"/>
      <c r="T53" s="554"/>
      <c r="U53" s="554"/>
      <c r="V53" s="554"/>
      <c r="W53" s="554"/>
      <c r="X53" s="554"/>
      <c r="Y53" s="554"/>
      <c r="Z53" s="554"/>
    </row>
    <row r="54" spans="1:26" ht="15" hidden="1" x14ac:dyDescent="0.25">
      <c r="I54" s="528"/>
      <c r="J54" s="554"/>
      <c r="K54" s="554"/>
      <c r="L54" s="554"/>
      <c r="M54" s="554"/>
      <c r="N54" s="554"/>
      <c r="O54" s="554"/>
      <c r="P54" s="554"/>
      <c r="Q54" s="554"/>
      <c r="R54" s="554"/>
      <c r="S54" s="554"/>
      <c r="T54" s="554"/>
      <c r="U54" s="554"/>
      <c r="V54" s="554"/>
      <c r="W54" s="554"/>
      <c r="X54" s="554"/>
      <c r="Y54" s="554"/>
      <c r="Z54" s="554"/>
    </row>
    <row r="55" spans="1:26" ht="15" hidden="1" x14ac:dyDescent="0.25">
      <c r="I55" s="528"/>
      <c r="J55" s="554"/>
      <c r="K55" s="554"/>
      <c r="L55" s="554"/>
      <c r="M55" s="554"/>
      <c r="N55" s="554"/>
      <c r="O55" s="554"/>
      <c r="P55" s="554"/>
      <c r="Q55" s="554"/>
      <c r="R55" s="554"/>
      <c r="S55" s="554"/>
      <c r="T55" s="554"/>
      <c r="U55" s="554"/>
      <c r="V55" s="554"/>
      <c r="W55" s="554"/>
      <c r="X55" s="554"/>
      <c r="Y55" s="554"/>
      <c r="Z55" s="554"/>
    </row>
    <row r="56" spans="1:26" ht="15" hidden="1" x14ac:dyDescent="0.25">
      <c r="I56" s="528"/>
      <c r="J56" s="554"/>
      <c r="K56" s="554"/>
      <c r="L56" s="554"/>
      <c r="M56" s="554"/>
      <c r="N56" s="554"/>
      <c r="O56" s="554"/>
      <c r="P56" s="554"/>
      <c r="Q56" s="554"/>
      <c r="R56" s="554"/>
      <c r="S56" s="554"/>
      <c r="T56" s="554"/>
      <c r="U56" s="554"/>
      <c r="V56" s="554"/>
      <c r="W56" s="554"/>
      <c r="X56" s="554"/>
      <c r="Y56" s="554"/>
      <c r="Z56" s="554"/>
    </row>
    <row r="57" spans="1:26" ht="15" hidden="1" x14ac:dyDescent="0.25">
      <c r="I57" s="528"/>
      <c r="J57" s="554"/>
      <c r="K57" s="554"/>
      <c r="L57" s="554"/>
      <c r="M57" s="554"/>
      <c r="N57" s="554"/>
      <c r="O57" s="554"/>
      <c r="P57" s="554"/>
      <c r="Q57" s="554"/>
      <c r="R57" s="554"/>
      <c r="S57" s="554"/>
      <c r="T57" s="554"/>
      <c r="U57" s="554"/>
      <c r="V57" s="554"/>
      <c r="W57" s="554"/>
      <c r="X57" s="554"/>
      <c r="Y57" s="554"/>
      <c r="Z57" s="554"/>
    </row>
    <row r="58" spans="1:26" ht="15" hidden="1" x14ac:dyDescent="0.25">
      <c r="I58" s="528"/>
      <c r="J58" s="554"/>
      <c r="K58" s="554"/>
      <c r="L58" s="554"/>
      <c r="M58" s="554"/>
      <c r="N58" s="554"/>
      <c r="O58" s="554"/>
      <c r="P58" s="554"/>
      <c r="Q58" s="554"/>
      <c r="R58" s="554"/>
      <c r="S58" s="554"/>
      <c r="T58" s="554"/>
      <c r="U58" s="554"/>
      <c r="V58" s="554"/>
      <c r="W58" s="554"/>
      <c r="X58" s="554"/>
      <c r="Y58" s="554"/>
      <c r="Z58" s="554"/>
    </row>
  </sheetData>
  <sheetProtection sheet="1" selectLockedCells="1"/>
  <mergeCells count="17">
    <mergeCell ref="E27:G28"/>
    <mergeCell ref="A9:B9"/>
    <mergeCell ref="C9:D9"/>
    <mergeCell ref="E9:F9"/>
    <mergeCell ref="B4:C4"/>
    <mergeCell ref="B5:C5"/>
    <mergeCell ref="B6:C6"/>
    <mergeCell ref="B7:C7"/>
    <mergeCell ref="F4:H4"/>
    <mergeCell ref="F5:H6"/>
    <mergeCell ref="F7:H7"/>
    <mergeCell ref="AA11:AA12"/>
    <mergeCell ref="AB11:AB12"/>
    <mergeCell ref="AC11:AC12"/>
    <mergeCell ref="A18:B18"/>
    <mergeCell ref="C18:D18"/>
    <mergeCell ref="E18:F18"/>
  </mergeCells>
  <printOptions horizontalCentered="1"/>
  <pageMargins left="0.5" right="0.5" top="0.5" bottom="0.5" header="0.5" footer="0.5"/>
  <pageSetup paperSize="9" scale="66" fitToHeight="0"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B5A71"/>
    <pageSetUpPr fitToPage="1"/>
  </sheetPr>
  <dimension ref="A1:AQ57"/>
  <sheetViews>
    <sheetView topLeftCell="A25" zoomScaleNormal="100" workbookViewId="0">
      <selection activeCell="B48" sqref="B48"/>
    </sheetView>
  </sheetViews>
  <sheetFormatPr defaultColWidth="0" defaultRowHeight="14.25" zeroHeight="1" x14ac:dyDescent="0.2"/>
  <cols>
    <col min="1" max="1" width="69.25" style="42" customWidth="1"/>
    <col min="2" max="2" width="23.875" style="11" customWidth="1"/>
    <col min="3" max="3" width="40.625" style="90" customWidth="1"/>
    <col min="4" max="4" width="25.375" style="543" hidden="1" customWidth="1"/>
    <col min="5" max="5" width="8.875" style="544" hidden="1" customWidth="1"/>
    <col min="6" max="6" width="9.375" style="544" hidden="1" customWidth="1"/>
    <col min="7" max="7" width="10.25" style="544" hidden="1" customWidth="1"/>
    <col min="8" max="14" width="9.625" style="544" hidden="1" customWidth="1"/>
    <col min="15" max="15" width="31.875" style="544" hidden="1" customWidth="1"/>
    <col min="16" max="16" width="34.5" style="545" hidden="1" customWidth="1"/>
    <col min="17" max="17" width="3.625" style="544" hidden="1" customWidth="1"/>
    <col min="18" max="19" width="3.75" style="544" hidden="1" customWidth="1"/>
    <col min="20" max="20" width="3.625" style="544" hidden="1" customWidth="1"/>
    <col min="21" max="38" width="3.75" style="544" hidden="1" customWidth="1"/>
    <col min="39" max="39" width="4.5" style="544" hidden="1" customWidth="1"/>
    <col min="40" max="16384" width="9" style="544" hidden="1"/>
  </cols>
  <sheetData>
    <row r="1" spans="1:43" s="90" customFormat="1" ht="60" customHeight="1" x14ac:dyDescent="0.2">
      <c r="A1" s="39" t="s">
        <v>155</v>
      </c>
      <c r="B1" s="177"/>
      <c r="C1" s="177"/>
      <c r="D1" s="567"/>
      <c r="E1" s="675"/>
      <c r="F1" s="675"/>
      <c r="G1" s="675"/>
      <c r="H1" s="675"/>
      <c r="I1" s="675"/>
      <c r="J1" s="675"/>
      <c r="K1" s="675"/>
      <c r="L1" s="675"/>
      <c r="M1" s="675"/>
      <c r="N1" s="675"/>
      <c r="O1" s="675"/>
      <c r="P1" s="569"/>
      <c r="Q1" s="675"/>
      <c r="R1" s="675"/>
      <c r="S1" s="675"/>
      <c r="T1" s="675"/>
      <c r="U1" s="675"/>
      <c r="V1" s="675"/>
      <c r="W1" s="675"/>
      <c r="X1" s="675"/>
      <c r="Y1" s="675"/>
      <c r="Z1" s="675"/>
      <c r="AA1" s="675"/>
      <c r="AB1" s="675"/>
      <c r="AC1" s="675"/>
      <c r="AD1" s="675"/>
      <c r="AE1" s="675"/>
      <c r="AF1" s="675"/>
      <c r="AG1" s="675"/>
      <c r="AH1" s="675"/>
      <c r="AI1" s="675"/>
      <c r="AJ1" s="675"/>
      <c r="AK1" s="675"/>
      <c r="AL1" s="675"/>
      <c r="AM1" s="569"/>
      <c r="AN1" s="462"/>
      <c r="AO1" s="462"/>
      <c r="AP1" s="462"/>
      <c r="AQ1" s="462"/>
    </row>
    <row r="2" spans="1:43" s="90" customFormat="1" ht="20.100000000000001" customHeight="1" x14ac:dyDescent="0.2">
      <c r="A2" s="47"/>
      <c r="B2" s="124"/>
      <c r="C2" s="84"/>
      <c r="D2" s="543"/>
      <c r="E2" s="673"/>
      <c r="F2" s="673"/>
      <c r="G2" s="673"/>
      <c r="H2" s="673"/>
      <c r="I2" s="673"/>
      <c r="J2" s="673"/>
      <c r="K2" s="673"/>
      <c r="L2" s="673"/>
      <c r="M2" s="673"/>
      <c r="N2" s="673"/>
      <c r="O2" s="673"/>
      <c r="P2" s="545"/>
      <c r="Q2" s="591"/>
      <c r="R2" s="591"/>
      <c r="S2" s="591"/>
      <c r="T2" s="591"/>
      <c r="U2" s="591"/>
      <c r="V2" s="591"/>
      <c r="W2" s="591"/>
      <c r="X2" s="591"/>
      <c r="Y2" s="591"/>
      <c r="Z2" s="591"/>
      <c r="AA2" s="591"/>
      <c r="AB2" s="591"/>
      <c r="AC2" s="591"/>
      <c r="AD2" s="591"/>
      <c r="AE2" s="591"/>
      <c r="AF2" s="591"/>
      <c r="AG2" s="591"/>
      <c r="AH2" s="591"/>
      <c r="AI2" s="591"/>
      <c r="AJ2" s="591"/>
      <c r="AK2" s="591"/>
      <c r="AL2" s="591"/>
      <c r="AM2" s="592"/>
      <c r="AN2" s="462"/>
      <c r="AO2" s="462"/>
      <c r="AP2" s="462"/>
      <c r="AQ2" s="462"/>
    </row>
    <row r="3" spans="1:43" s="90" customFormat="1" ht="20.100000000000001" customHeight="1" x14ac:dyDescent="0.2">
      <c r="A3" s="348" t="s">
        <v>24</v>
      </c>
      <c r="B3" s="319">
        <f>('Input Sheet'!F6)</f>
        <v>0</v>
      </c>
      <c r="C3" s="84"/>
      <c r="D3" s="543"/>
      <c r="E3" s="673"/>
      <c r="F3" s="673"/>
      <c r="G3" s="673"/>
      <c r="H3" s="673"/>
      <c r="I3" s="673"/>
      <c r="J3" s="673"/>
      <c r="K3" s="673"/>
      <c r="L3" s="673"/>
      <c r="M3" s="673"/>
      <c r="N3" s="673"/>
      <c r="O3" s="673"/>
      <c r="P3" s="545"/>
      <c r="Q3" s="706"/>
      <c r="R3" s="706"/>
      <c r="S3" s="5">
        <v>0</v>
      </c>
      <c r="T3" s="5">
        <v>0.05</v>
      </c>
      <c r="U3" s="5">
        <v>0.1</v>
      </c>
      <c r="V3" s="5">
        <v>0.15</v>
      </c>
      <c r="W3" s="5">
        <v>0.2</v>
      </c>
      <c r="X3" s="5">
        <v>0.25</v>
      </c>
      <c r="Y3" s="5">
        <v>0.3</v>
      </c>
      <c r="Z3" s="5">
        <v>0.35</v>
      </c>
      <c r="AA3" s="5">
        <v>0.4</v>
      </c>
      <c r="AB3" s="5">
        <v>0.45</v>
      </c>
      <c r="AC3" s="5">
        <v>0.5</v>
      </c>
      <c r="AD3" s="5">
        <v>0.55000000000000004</v>
      </c>
      <c r="AE3" s="5">
        <v>0.6</v>
      </c>
      <c r="AF3" s="5">
        <v>0.65</v>
      </c>
      <c r="AG3" s="5">
        <v>0.7</v>
      </c>
      <c r="AH3" s="5">
        <v>0.75</v>
      </c>
      <c r="AI3" s="5">
        <v>0.8</v>
      </c>
      <c r="AJ3" s="5">
        <v>0.85</v>
      </c>
      <c r="AK3" s="5">
        <v>0.9</v>
      </c>
      <c r="AL3" s="5">
        <v>0.95</v>
      </c>
      <c r="AM3" s="5">
        <v>1</v>
      </c>
      <c r="AN3" s="462"/>
      <c r="AO3" s="462"/>
      <c r="AP3" s="462"/>
      <c r="AQ3" s="462"/>
    </row>
    <row r="4" spans="1:43" s="90" customFormat="1" ht="20.100000000000001" customHeight="1" x14ac:dyDescent="0.2">
      <c r="A4" s="145"/>
      <c r="B4" s="124"/>
      <c r="C4" s="84"/>
      <c r="D4" s="543"/>
      <c r="E4" s="673"/>
      <c r="F4" s="673"/>
      <c r="G4" s="673"/>
      <c r="H4" s="673"/>
      <c r="I4" s="673"/>
      <c r="J4" s="673"/>
      <c r="K4" s="673"/>
      <c r="L4" s="673"/>
      <c r="M4" s="673"/>
      <c r="N4" s="673"/>
      <c r="O4" s="673"/>
      <c r="P4" s="545"/>
      <c r="Q4" s="708" t="s">
        <v>156</v>
      </c>
      <c r="R4" s="5">
        <v>0</v>
      </c>
      <c r="S4" s="6">
        <v>0</v>
      </c>
      <c r="T4" s="6">
        <v>0</v>
      </c>
      <c r="U4" s="6">
        <v>0</v>
      </c>
      <c r="V4" s="6">
        <v>-1</v>
      </c>
      <c r="W4" s="6">
        <v>-1</v>
      </c>
      <c r="X4" s="6">
        <v>-1</v>
      </c>
      <c r="Y4" s="6">
        <v>-1</v>
      </c>
      <c r="Z4" s="6">
        <v>-1</v>
      </c>
      <c r="AA4" s="6">
        <v>-1</v>
      </c>
      <c r="AB4" s="6">
        <v>-1</v>
      </c>
      <c r="AC4" s="6">
        <v>-1</v>
      </c>
      <c r="AD4" s="6">
        <v>-1</v>
      </c>
      <c r="AE4" s="6">
        <v>-1</v>
      </c>
      <c r="AF4" s="6">
        <v>-2</v>
      </c>
      <c r="AG4" s="6">
        <v>-2</v>
      </c>
      <c r="AH4" s="6">
        <v>-2</v>
      </c>
      <c r="AI4" s="6">
        <v>-2</v>
      </c>
      <c r="AJ4" s="6">
        <v>-2</v>
      </c>
      <c r="AK4" s="6">
        <v>-2</v>
      </c>
      <c r="AL4" s="6">
        <v>-2</v>
      </c>
      <c r="AM4" s="6">
        <v>-2</v>
      </c>
      <c r="AN4" s="462"/>
      <c r="AO4" s="462"/>
      <c r="AP4" s="462"/>
      <c r="AQ4" s="462"/>
    </row>
    <row r="5" spans="1:43" s="90" customFormat="1" ht="35.1" customHeight="1" x14ac:dyDescent="0.2">
      <c r="A5" s="278" t="s">
        <v>157</v>
      </c>
      <c r="B5" s="273"/>
      <c r="C5" s="280"/>
      <c r="D5" s="570"/>
      <c r="E5" s="571"/>
      <c r="F5" s="571"/>
      <c r="G5" s="571"/>
      <c r="H5" s="571"/>
      <c r="I5" s="571"/>
      <c r="J5" s="571"/>
      <c r="K5" s="571"/>
      <c r="L5" s="571"/>
      <c r="M5" s="571"/>
      <c r="N5" s="571"/>
      <c r="O5" s="673"/>
      <c r="P5" s="545"/>
      <c r="Q5" s="708"/>
      <c r="R5" s="5">
        <v>0.05</v>
      </c>
      <c r="S5" s="6">
        <v>-1</v>
      </c>
      <c r="T5" s="6">
        <v>-1</v>
      </c>
      <c r="U5" s="6">
        <v>-1</v>
      </c>
      <c r="V5" s="6">
        <v>-1</v>
      </c>
      <c r="W5" s="6">
        <v>-1</v>
      </c>
      <c r="X5" s="6">
        <v>-1</v>
      </c>
      <c r="Y5" s="6">
        <v>-1</v>
      </c>
      <c r="Z5" s="6">
        <v>-1</v>
      </c>
      <c r="AA5" s="6">
        <v>-1</v>
      </c>
      <c r="AB5" s="6">
        <v>-1</v>
      </c>
      <c r="AC5" s="6">
        <v>-2</v>
      </c>
      <c r="AD5" s="6">
        <v>-2</v>
      </c>
      <c r="AE5" s="6">
        <v>-2</v>
      </c>
      <c r="AF5" s="6">
        <v>-2</v>
      </c>
      <c r="AG5" s="6">
        <v>-2</v>
      </c>
      <c r="AH5" s="6">
        <v>-2</v>
      </c>
      <c r="AI5" s="6">
        <v>-2</v>
      </c>
      <c r="AJ5" s="6">
        <v>-2</v>
      </c>
      <c r="AK5" s="6">
        <v>-2</v>
      </c>
      <c r="AL5" s="6">
        <v>-2</v>
      </c>
      <c r="AM5" s="6"/>
      <c r="AN5" s="462"/>
      <c r="AO5" s="462"/>
      <c r="AP5" s="462"/>
      <c r="AQ5" s="462"/>
    </row>
    <row r="6" spans="1:43" s="90" customFormat="1" ht="20.100000000000001" customHeight="1" x14ac:dyDescent="0.2">
      <c r="A6" s="47"/>
      <c r="B6" s="124"/>
      <c r="C6" s="84"/>
      <c r="D6" s="543"/>
      <c r="E6" s="673"/>
      <c r="F6" s="673"/>
      <c r="G6" s="673"/>
      <c r="H6" s="673"/>
      <c r="I6" s="673"/>
      <c r="J6" s="673"/>
      <c r="K6" s="673"/>
      <c r="L6" s="673"/>
      <c r="M6" s="673"/>
      <c r="N6" s="673"/>
      <c r="O6" s="673"/>
      <c r="P6" s="545"/>
      <c r="Q6" s="708"/>
      <c r="R6" s="5">
        <v>0.1</v>
      </c>
      <c r="S6" s="6">
        <v>-1</v>
      </c>
      <c r="T6" s="6">
        <v>-1</v>
      </c>
      <c r="U6" s="6">
        <v>-1</v>
      </c>
      <c r="V6" s="6">
        <v>-1</v>
      </c>
      <c r="W6" s="6">
        <v>-1</v>
      </c>
      <c r="X6" s="6">
        <v>-1</v>
      </c>
      <c r="Y6" s="6">
        <v>-1</v>
      </c>
      <c r="Z6" s="6">
        <v>-2</v>
      </c>
      <c r="AA6" s="6">
        <v>-2</v>
      </c>
      <c r="AB6" s="6">
        <v>-2</v>
      </c>
      <c r="AC6" s="6">
        <v>-2</v>
      </c>
      <c r="AD6" s="6">
        <v>-2</v>
      </c>
      <c r="AE6" s="6">
        <v>-2</v>
      </c>
      <c r="AF6" s="6">
        <v>-2</v>
      </c>
      <c r="AG6" s="6">
        <v>-2</v>
      </c>
      <c r="AH6" s="6">
        <v>-2</v>
      </c>
      <c r="AI6" s="6">
        <v>-2</v>
      </c>
      <c r="AJ6" s="6">
        <v>-2</v>
      </c>
      <c r="AK6" s="6">
        <v>-3</v>
      </c>
      <c r="AL6" s="593"/>
      <c r="AM6" s="593"/>
      <c r="AN6" s="131"/>
      <c r="AO6" s="131"/>
      <c r="AP6" s="131"/>
      <c r="AQ6" s="131"/>
    </row>
    <row r="7" spans="1:43" s="90" customFormat="1" ht="30" customHeight="1" x14ac:dyDescent="0.2">
      <c r="A7" s="255" t="s">
        <v>158</v>
      </c>
      <c r="B7" s="387"/>
      <c r="C7" s="178"/>
      <c r="D7" s="530"/>
      <c r="E7" s="572"/>
      <c r="F7" s="673"/>
      <c r="G7" s="673"/>
      <c r="H7" s="673"/>
      <c r="I7" s="673"/>
      <c r="J7" s="673"/>
      <c r="K7" s="673"/>
      <c r="L7" s="673"/>
      <c r="M7" s="673"/>
      <c r="N7" s="673"/>
      <c r="O7" s="673"/>
      <c r="P7" s="545"/>
      <c r="Q7" s="708"/>
      <c r="R7" s="5">
        <v>0.15</v>
      </c>
      <c r="S7" s="6">
        <v>-1</v>
      </c>
      <c r="T7" s="6">
        <v>-1</v>
      </c>
      <c r="U7" s="6">
        <v>-1</v>
      </c>
      <c r="V7" s="6">
        <v>-1</v>
      </c>
      <c r="W7" s="6">
        <v>-1</v>
      </c>
      <c r="X7" s="6">
        <v>-2</v>
      </c>
      <c r="Y7" s="6">
        <v>-2</v>
      </c>
      <c r="Z7" s="6">
        <v>-2</v>
      </c>
      <c r="AA7" s="6">
        <v>-2</v>
      </c>
      <c r="AB7" s="6">
        <v>-2</v>
      </c>
      <c r="AC7" s="6">
        <v>-2</v>
      </c>
      <c r="AD7" s="6">
        <v>-2</v>
      </c>
      <c r="AE7" s="6">
        <v>-2</v>
      </c>
      <c r="AF7" s="6">
        <v>-2</v>
      </c>
      <c r="AG7" s="6">
        <v>-2</v>
      </c>
      <c r="AH7" s="6">
        <v>-3</v>
      </c>
      <c r="AI7" s="6">
        <v>-3</v>
      </c>
      <c r="AJ7" s="6">
        <v>-3</v>
      </c>
      <c r="AK7" s="6"/>
      <c r="AL7" s="593"/>
      <c r="AM7" s="593"/>
      <c r="AN7" s="462"/>
      <c r="AO7" s="462"/>
      <c r="AP7" s="462"/>
      <c r="AQ7" s="462"/>
    </row>
    <row r="8" spans="1:43" ht="20.100000000000001" customHeight="1" x14ac:dyDescent="0.2">
      <c r="A8" s="159" t="s">
        <v>159</v>
      </c>
      <c r="B8" s="221" t="str">
        <f>IF('Input Sheet'!F4="","",'Input Sheet'!F4)</f>
        <v/>
      </c>
      <c r="C8" s="289"/>
      <c r="E8" s="673"/>
      <c r="F8" s="573"/>
      <c r="G8" s="673"/>
      <c r="H8" s="673"/>
      <c r="I8" s="673"/>
      <c r="J8" s="673"/>
      <c r="K8" s="673"/>
      <c r="L8" s="673"/>
      <c r="M8" s="673"/>
      <c r="N8" s="673"/>
      <c r="O8" s="673"/>
      <c r="Q8" s="708"/>
      <c r="R8" s="5">
        <v>0.2</v>
      </c>
      <c r="S8" s="6">
        <v>-1</v>
      </c>
      <c r="T8" s="6">
        <v>-1</v>
      </c>
      <c r="U8" s="6">
        <v>-2</v>
      </c>
      <c r="V8" s="6">
        <v>-2</v>
      </c>
      <c r="W8" s="6">
        <v>-2</v>
      </c>
      <c r="X8" s="6">
        <v>-2</v>
      </c>
      <c r="Y8" s="6">
        <v>-2</v>
      </c>
      <c r="Z8" s="6">
        <v>-2</v>
      </c>
      <c r="AA8" s="6">
        <v>-2</v>
      </c>
      <c r="AB8" s="6">
        <v>-2</v>
      </c>
      <c r="AC8" s="6">
        <v>-2</v>
      </c>
      <c r="AD8" s="6">
        <v>-2</v>
      </c>
      <c r="AE8" s="6">
        <v>-3</v>
      </c>
      <c r="AF8" s="6">
        <v>-3</v>
      </c>
      <c r="AG8" s="6">
        <v>-3</v>
      </c>
      <c r="AH8" s="6">
        <v>-3</v>
      </c>
      <c r="AI8" s="6">
        <v>-3</v>
      </c>
      <c r="AJ8" s="593"/>
      <c r="AK8" s="593"/>
      <c r="AL8" s="593"/>
      <c r="AM8" s="593"/>
      <c r="AN8" s="673"/>
      <c r="AO8" s="673"/>
      <c r="AP8" s="673"/>
      <c r="AQ8" s="673"/>
    </row>
    <row r="9" spans="1:43" ht="20.100000000000001" customHeight="1" x14ac:dyDescent="0.2">
      <c r="A9" s="138" t="s">
        <v>160</v>
      </c>
      <c r="B9" s="346">
        <f>IF('Input Sheet'!F7="","",'Input Sheet'!F7)</f>
        <v>0.1</v>
      </c>
      <c r="C9" s="289"/>
      <c r="E9" s="673"/>
      <c r="F9" s="573"/>
      <c r="G9" s="673"/>
      <c r="H9" s="673"/>
      <c r="I9" s="673"/>
      <c r="J9" s="673"/>
      <c r="K9" s="673"/>
      <c r="L9" s="673"/>
      <c r="M9" s="673"/>
      <c r="N9" s="673"/>
      <c r="O9" s="673"/>
      <c r="Q9" s="708"/>
      <c r="R9" s="5">
        <v>0.25</v>
      </c>
      <c r="S9" s="6">
        <v>-2</v>
      </c>
      <c r="T9" s="6">
        <v>-2</v>
      </c>
      <c r="U9" s="6">
        <v>-2</v>
      </c>
      <c r="V9" s="6">
        <v>-2</v>
      </c>
      <c r="W9" s="6">
        <v>-2</v>
      </c>
      <c r="X9" s="6">
        <v>-2</v>
      </c>
      <c r="Y9" s="6">
        <v>-2</v>
      </c>
      <c r="Z9" s="6">
        <v>-2</v>
      </c>
      <c r="AA9" s="6">
        <v>-2</v>
      </c>
      <c r="AB9" s="6">
        <v>-3</v>
      </c>
      <c r="AC9" s="6">
        <v>-3</v>
      </c>
      <c r="AD9" s="6">
        <v>-3</v>
      </c>
      <c r="AE9" s="6">
        <v>-3</v>
      </c>
      <c r="AF9" s="6">
        <v>-3</v>
      </c>
      <c r="AG9" s="6">
        <v>-3</v>
      </c>
      <c r="AH9" s="6">
        <v>-3</v>
      </c>
      <c r="AI9" s="6"/>
      <c r="AJ9" s="593"/>
      <c r="AK9" s="593"/>
      <c r="AL9" s="593"/>
      <c r="AM9" s="593"/>
      <c r="AN9" s="673"/>
      <c r="AO9" s="673"/>
      <c r="AP9" s="673"/>
      <c r="AQ9" s="673"/>
    </row>
    <row r="10" spans="1:43" ht="20.100000000000001" customHeight="1" x14ac:dyDescent="0.2">
      <c r="A10" s="223" t="s">
        <v>104</v>
      </c>
      <c r="B10" s="347" t="str">
        <f>IF(B8="","",B8-B9)</f>
        <v/>
      </c>
      <c r="C10" s="288"/>
      <c r="E10" s="673"/>
      <c r="F10" s="573"/>
      <c r="G10" s="673"/>
      <c r="H10" s="673"/>
      <c r="I10" s="673"/>
      <c r="J10" s="673"/>
      <c r="K10" s="673"/>
      <c r="L10" s="673"/>
      <c r="M10" s="673"/>
      <c r="N10" s="673"/>
      <c r="O10" s="673"/>
      <c r="Q10" s="708"/>
      <c r="R10" s="5">
        <v>0.3</v>
      </c>
      <c r="S10" s="6">
        <v>-2</v>
      </c>
      <c r="T10" s="6">
        <v>-2</v>
      </c>
      <c r="U10" s="6">
        <v>-2</v>
      </c>
      <c r="V10" s="6">
        <v>-2</v>
      </c>
      <c r="W10" s="6">
        <v>-2</v>
      </c>
      <c r="X10" s="6">
        <v>-2</v>
      </c>
      <c r="Y10" s="6">
        <v>-3</v>
      </c>
      <c r="Z10" s="6">
        <v>-3</v>
      </c>
      <c r="AA10" s="6">
        <v>-3</v>
      </c>
      <c r="AB10" s="6">
        <v>-3</v>
      </c>
      <c r="AC10" s="6">
        <v>-3</v>
      </c>
      <c r="AD10" s="6">
        <v>-3</v>
      </c>
      <c r="AE10" s="6">
        <v>-3</v>
      </c>
      <c r="AF10" s="6">
        <v>-3</v>
      </c>
      <c r="AG10" s="6">
        <v>-3</v>
      </c>
      <c r="AH10" s="593"/>
      <c r="AI10" s="593"/>
      <c r="AJ10" s="593"/>
      <c r="AK10" s="593"/>
      <c r="AL10" s="593"/>
      <c r="AM10" s="593"/>
      <c r="AN10" s="673"/>
      <c r="AO10" s="673"/>
      <c r="AP10" s="673"/>
      <c r="AQ10" s="673"/>
    </row>
    <row r="11" spans="1:43" ht="20.100000000000001" customHeight="1" x14ac:dyDescent="0.2">
      <c r="A11" s="287"/>
      <c r="B11" s="286"/>
      <c r="C11" s="288"/>
      <c r="D11" s="530"/>
      <c r="E11" s="574"/>
      <c r="F11" s="573"/>
      <c r="G11" s="673"/>
      <c r="H11" s="673"/>
      <c r="I11" s="673"/>
      <c r="J11" s="673"/>
      <c r="K11" s="673"/>
      <c r="L11" s="673"/>
      <c r="M11" s="673"/>
      <c r="N11" s="673"/>
      <c r="O11" s="673"/>
      <c r="Q11" s="708"/>
      <c r="R11" s="5">
        <v>0.35</v>
      </c>
      <c r="S11" s="6">
        <v>-2</v>
      </c>
      <c r="T11" s="6">
        <v>-2</v>
      </c>
      <c r="U11" s="6">
        <v>-2</v>
      </c>
      <c r="V11" s="6">
        <v>-2</v>
      </c>
      <c r="W11" s="6">
        <v>-3</v>
      </c>
      <c r="X11" s="6">
        <v>-3</v>
      </c>
      <c r="Y11" s="6">
        <v>-3</v>
      </c>
      <c r="Z11" s="6">
        <v>-3</v>
      </c>
      <c r="AA11" s="6">
        <v>-3</v>
      </c>
      <c r="AB11" s="6">
        <v>-3</v>
      </c>
      <c r="AC11" s="6">
        <v>-3</v>
      </c>
      <c r="AD11" s="6">
        <v>-3</v>
      </c>
      <c r="AE11" s="6">
        <v>-3</v>
      </c>
      <c r="AF11" s="6">
        <v>-3</v>
      </c>
      <c r="AG11" s="6"/>
      <c r="AH11" s="593"/>
      <c r="AI11" s="593"/>
      <c r="AJ11" s="593"/>
      <c r="AK11" s="593"/>
      <c r="AL11" s="593"/>
      <c r="AM11" s="593"/>
      <c r="AN11" s="673"/>
      <c r="AO11" s="673"/>
      <c r="AP11" s="673"/>
      <c r="AQ11" s="673"/>
    </row>
    <row r="12" spans="1:43" s="90" customFormat="1" ht="20.100000000000001" customHeight="1" x14ac:dyDescent="0.2">
      <c r="A12" s="159" t="s">
        <v>161</v>
      </c>
      <c r="B12" s="221" t="str">
        <f>IF('Input Sheet'!F5="","",'Input Sheet'!F5)</f>
        <v/>
      </c>
      <c r="C12" s="288"/>
      <c r="D12" s="530"/>
      <c r="E12" s="574"/>
      <c r="F12" s="573"/>
      <c r="G12" s="673"/>
      <c r="H12" s="673"/>
      <c r="I12" s="673"/>
      <c r="J12" s="673"/>
      <c r="K12" s="673"/>
      <c r="L12" s="673"/>
      <c r="M12" s="673"/>
      <c r="N12" s="673"/>
      <c r="O12" s="673"/>
      <c r="P12" s="545"/>
      <c r="Q12" s="708"/>
      <c r="R12" s="5">
        <v>0.4</v>
      </c>
      <c r="S12" s="6">
        <v>-2</v>
      </c>
      <c r="T12" s="6">
        <v>-3</v>
      </c>
      <c r="U12" s="6">
        <v>-3</v>
      </c>
      <c r="V12" s="6">
        <v>-3</v>
      </c>
      <c r="W12" s="6">
        <v>-3</v>
      </c>
      <c r="X12" s="6">
        <v>-3</v>
      </c>
      <c r="Y12" s="6">
        <v>-3</v>
      </c>
      <c r="Z12" s="6">
        <v>-3</v>
      </c>
      <c r="AA12" s="6">
        <v>-3</v>
      </c>
      <c r="AB12" s="6">
        <v>-3</v>
      </c>
      <c r="AC12" s="6">
        <v>-3</v>
      </c>
      <c r="AD12" s="6">
        <v>-4</v>
      </c>
      <c r="AE12" s="6">
        <v>-4</v>
      </c>
      <c r="AF12" s="593"/>
      <c r="AG12" s="593"/>
      <c r="AH12" s="593"/>
      <c r="AI12" s="593"/>
      <c r="AJ12" s="595"/>
      <c r="AK12" s="595"/>
      <c r="AL12" s="595"/>
      <c r="AM12" s="595"/>
      <c r="AN12" s="462"/>
      <c r="AO12" s="462"/>
      <c r="AP12" s="462"/>
      <c r="AQ12" s="462"/>
    </row>
    <row r="13" spans="1:43" s="90" customFormat="1" ht="20.100000000000001" customHeight="1" x14ac:dyDescent="0.2">
      <c r="A13" s="138" t="s">
        <v>28</v>
      </c>
      <c r="B13" s="346">
        <f>IF('Input Sheet'!F8="","",'Input Sheet'!F8)</f>
        <v>0.05</v>
      </c>
      <c r="C13" s="288"/>
      <c r="D13" s="530"/>
      <c r="E13" s="574"/>
      <c r="F13" s="573"/>
      <c r="G13" s="673"/>
      <c r="H13" s="673"/>
      <c r="I13" s="673"/>
      <c r="J13" s="673"/>
      <c r="K13" s="673"/>
      <c r="L13" s="673"/>
      <c r="M13" s="673"/>
      <c r="N13" s="673"/>
      <c r="O13" s="673"/>
      <c r="P13" s="545"/>
      <c r="Q13" s="708"/>
      <c r="R13" s="5">
        <v>0.45</v>
      </c>
      <c r="S13" s="6">
        <v>-3</v>
      </c>
      <c r="T13" s="6">
        <v>-3</v>
      </c>
      <c r="U13" s="6">
        <v>-3</v>
      </c>
      <c r="V13" s="6">
        <v>-3</v>
      </c>
      <c r="W13" s="6">
        <v>-3</v>
      </c>
      <c r="X13" s="6">
        <v>-3</v>
      </c>
      <c r="Y13" s="6">
        <v>-3</v>
      </c>
      <c r="Z13" s="6">
        <v>-3</v>
      </c>
      <c r="AA13" s="6">
        <v>-4</v>
      </c>
      <c r="AB13" s="6">
        <v>-4</v>
      </c>
      <c r="AC13" s="6">
        <v>-4</v>
      </c>
      <c r="AD13" s="6">
        <v>-4</v>
      </c>
      <c r="AE13" s="6"/>
      <c r="AF13" s="593"/>
      <c r="AG13" s="593"/>
      <c r="AH13" s="593"/>
      <c r="AI13" s="593"/>
      <c r="AJ13" s="593"/>
      <c r="AK13" s="593"/>
      <c r="AL13" s="593"/>
      <c r="AM13" s="593"/>
      <c r="AN13" s="462"/>
      <c r="AO13" s="462"/>
      <c r="AP13" s="462"/>
      <c r="AQ13" s="462"/>
    </row>
    <row r="14" spans="1:43" s="90" customFormat="1" ht="20.100000000000001" customHeight="1" x14ac:dyDescent="0.2">
      <c r="A14" s="223" t="s">
        <v>104</v>
      </c>
      <c r="B14" s="347" t="str">
        <f>IF(B12="","",B12-B13)</f>
        <v/>
      </c>
      <c r="C14" s="288"/>
      <c r="D14" s="530"/>
      <c r="E14" s="574"/>
      <c r="F14" s="573"/>
      <c r="G14" s="673"/>
      <c r="H14" s="673"/>
      <c r="I14" s="673"/>
      <c r="J14" s="673"/>
      <c r="K14" s="673"/>
      <c r="L14" s="673"/>
      <c r="M14" s="673"/>
      <c r="N14" s="673"/>
      <c r="O14" s="673"/>
      <c r="P14" s="545"/>
      <c r="Q14" s="708"/>
      <c r="R14" s="5">
        <v>0.5</v>
      </c>
      <c r="S14" s="6">
        <v>-3</v>
      </c>
      <c r="T14" s="6">
        <v>-3</v>
      </c>
      <c r="U14" s="6">
        <v>-3</v>
      </c>
      <c r="V14" s="6">
        <v>-3</v>
      </c>
      <c r="W14" s="6">
        <v>-3</v>
      </c>
      <c r="X14" s="6">
        <v>-4</v>
      </c>
      <c r="Y14" s="6">
        <v>-4</v>
      </c>
      <c r="Z14" s="6">
        <v>-4</v>
      </c>
      <c r="AA14" s="6">
        <v>-4</v>
      </c>
      <c r="AB14" s="6">
        <v>-4</v>
      </c>
      <c r="AC14" s="6">
        <v>-4</v>
      </c>
      <c r="AD14" s="593"/>
      <c r="AE14" s="593"/>
      <c r="AF14" s="593"/>
      <c r="AG14" s="593"/>
      <c r="AH14" s="593"/>
      <c r="AI14" s="593"/>
      <c r="AJ14" s="593"/>
      <c r="AK14" s="593"/>
      <c r="AL14" s="593"/>
      <c r="AM14" s="593"/>
      <c r="AN14" s="462"/>
      <c r="AO14" s="462"/>
      <c r="AP14" s="462"/>
      <c r="AQ14" s="462"/>
    </row>
    <row r="15" spans="1:43" s="90" customFormat="1" ht="20.100000000000001" customHeight="1" x14ac:dyDescent="0.2">
      <c r="A15" s="47"/>
      <c r="B15" s="124"/>
      <c r="C15" s="84"/>
      <c r="D15" s="543"/>
      <c r="E15" s="673"/>
      <c r="F15" s="673"/>
      <c r="G15" s="673"/>
      <c r="H15" s="673"/>
      <c r="I15" s="673"/>
      <c r="J15" s="673"/>
      <c r="K15" s="673"/>
      <c r="L15" s="673"/>
      <c r="M15" s="673"/>
      <c r="N15" s="673"/>
      <c r="O15" s="673"/>
      <c r="P15" s="545"/>
      <c r="Q15" s="708"/>
      <c r="R15" s="5">
        <v>0.55000000000000004</v>
      </c>
      <c r="S15" s="6">
        <v>-3</v>
      </c>
      <c r="T15" s="6">
        <v>-3</v>
      </c>
      <c r="U15" s="6">
        <v>-3</v>
      </c>
      <c r="V15" s="6">
        <v>-4</v>
      </c>
      <c r="W15" s="6">
        <v>-4</v>
      </c>
      <c r="X15" s="6">
        <v>-4</v>
      </c>
      <c r="Y15" s="6">
        <v>-4</v>
      </c>
      <c r="Z15" s="6">
        <v>-4</v>
      </c>
      <c r="AA15" s="6">
        <v>-4</v>
      </c>
      <c r="AB15" s="6">
        <v>-4</v>
      </c>
      <c r="AC15" s="6"/>
      <c r="AD15" s="593"/>
      <c r="AE15" s="593"/>
      <c r="AF15" s="593"/>
      <c r="AG15" s="593"/>
      <c r="AH15" s="593"/>
      <c r="AI15" s="593"/>
      <c r="AJ15" s="593"/>
      <c r="AK15" s="593"/>
      <c r="AL15" s="593"/>
      <c r="AM15" s="593"/>
      <c r="AN15" s="462"/>
      <c r="AO15" s="462"/>
      <c r="AP15" s="462"/>
      <c r="AQ15" s="462"/>
    </row>
    <row r="16" spans="1:43" s="90" customFormat="1" ht="35.1" customHeight="1" x14ac:dyDescent="0.2">
      <c r="A16" s="278" t="s">
        <v>162</v>
      </c>
      <c r="B16" s="272"/>
      <c r="C16" s="281"/>
      <c r="D16" s="575"/>
      <c r="E16" s="576"/>
      <c r="F16" s="576"/>
      <c r="G16" s="576"/>
      <c r="H16" s="576"/>
      <c r="I16" s="576"/>
      <c r="J16" s="576"/>
      <c r="K16" s="576"/>
      <c r="L16" s="576"/>
      <c r="M16" s="576"/>
      <c r="N16" s="576"/>
      <c r="O16" s="673"/>
      <c r="P16" s="545"/>
      <c r="Q16" s="708"/>
      <c r="R16" s="5">
        <v>0.6</v>
      </c>
      <c r="S16" s="6">
        <v>-4</v>
      </c>
      <c r="T16" s="6">
        <v>-4</v>
      </c>
      <c r="U16" s="6">
        <v>-4</v>
      </c>
      <c r="V16" s="6">
        <v>-4</v>
      </c>
      <c r="W16" s="6">
        <v>-4</v>
      </c>
      <c r="X16" s="6">
        <v>-4</v>
      </c>
      <c r="Y16" s="6">
        <v>-4</v>
      </c>
      <c r="Z16" s="6">
        <v>-4</v>
      </c>
      <c r="AA16" s="6">
        <v>-4</v>
      </c>
      <c r="AB16" s="593"/>
      <c r="AC16" s="593"/>
      <c r="AD16" s="593"/>
      <c r="AE16" s="593"/>
      <c r="AF16" s="593"/>
      <c r="AG16" s="593"/>
      <c r="AH16" s="593"/>
      <c r="AI16" s="593"/>
      <c r="AJ16" s="593"/>
      <c r="AK16" s="593"/>
      <c r="AL16" s="593"/>
      <c r="AM16" s="593"/>
      <c r="AN16" s="462"/>
      <c r="AO16" s="462"/>
      <c r="AP16" s="462"/>
      <c r="AQ16" s="462"/>
    </row>
    <row r="17" spans="1:39" s="90" customFormat="1" ht="20.100000000000001" customHeight="1" x14ac:dyDescent="0.2">
      <c r="A17" s="47"/>
      <c r="B17" s="124"/>
      <c r="C17" s="84"/>
      <c r="D17" s="543"/>
      <c r="E17" s="673"/>
      <c r="F17" s="673"/>
      <c r="G17" s="673"/>
      <c r="H17" s="673"/>
      <c r="I17" s="673"/>
      <c r="J17" s="673"/>
      <c r="K17" s="673"/>
      <c r="L17" s="673"/>
      <c r="M17" s="673"/>
      <c r="N17" s="673"/>
      <c r="O17" s="673"/>
      <c r="P17" s="545"/>
      <c r="Q17" s="708"/>
      <c r="R17" s="5">
        <v>0.65</v>
      </c>
      <c r="S17" s="6">
        <v>-4</v>
      </c>
      <c r="T17" s="6">
        <v>-4</v>
      </c>
      <c r="U17" s="6">
        <v>-4</v>
      </c>
      <c r="V17" s="6">
        <v>-4</v>
      </c>
      <c r="W17" s="6">
        <v>-4</v>
      </c>
      <c r="X17" s="6">
        <v>-4</v>
      </c>
      <c r="Y17" s="6">
        <v>-4</v>
      </c>
      <c r="Z17" s="6">
        <v>-5</v>
      </c>
      <c r="AA17" s="6"/>
      <c r="AB17" s="593"/>
      <c r="AC17" s="593"/>
      <c r="AD17" s="593"/>
      <c r="AE17" s="593"/>
      <c r="AF17" s="594"/>
      <c r="AG17" s="594"/>
      <c r="AH17" s="594"/>
      <c r="AI17" s="594"/>
      <c r="AJ17" s="594"/>
      <c r="AK17" s="594"/>
      <c r="AL17" s="593"/>
      <c r="AM17" s="593"/>
    </row>
    <row r="18" spans="1:39" s="90" customFormat="1" ht="30" customHeight="1" x14ac:dyDescent="0.2">
      <c r="A18" s="255" t="s">
        <v>163</v>
      </c>
      <c r="B18" s="388"/>
      <c r="C18" s="84"/>
      <c r="D18" s="543"/>
      <c r="E18" s="673"/>
      <c r="F18" s="673"/>
      <c r="G18" s="673"/>
      <c r="H18" s="673"/>
      <c r="I18" s="673"/>
      <c r="J18" s="673"/>
      <c r="K18" s="673"/>
      <c r="L18" s="673"/>
      <c r="M18" s="673"/>
      <c r="N18" s="673"/>
      <c r="O18" s="673"/>
      <c r="P18" s="545"/>
      <c r="Q18" s="708"/>
      <c r="R18" s="5">
        <v>0.7</v>
      </c>
      <c r="S18" s="6">
        <v>-4</v>
      </c>
      <c r="T18" s="6">
        <v>-4</v>
      </c>
      <c r="U18" s="6">
        <v>-4</v>
      </c>
      <c r="V18" s="6">
        <v>-4</v>
      </c>
      <c r="W18" s="6">
        <v>-5</v>
      </c>
      <c r="X18" s="6">
        <v>-5</v>
      </c>
      <c r="Y18" s="6">
        <v>-5</v>
      </c>
      <c r="Z18" s="593"/>
      <c r="AA18" s="593"/>
      <c r="AB18" s="593"/>
      <c r="AC18" s="593"/>
      <c r="AD18" s="593"/>
      <c r="AE18" s="593"/>
      <c r="AF18" s="593"/>
      <c r="AG18" s="593"/>
      <c r="AH18" s="593"/>
      <c r="AI18" s="593"/>
      <c r="AJ18" s="593"/>
      <c r="AK18" s="593"/>
      <c r="AL18" s="593"/>
      <c r="AM18" s="593"/>
    </row>
    <row r="19" spans="1:39" s="90" customFormat="1" ht="20.100000000000001" customHeight="1" x14ac:dyDescent="0.2">
      <c r="A19" s="159" t="s">
        <v>164</v>
      </c>
      <c r="B19" s="343" t="str">
        <f>IF($B$8&gt;$R$4,(IF($B$8&gt;$R$5,(IF($B$8&gt;$R$6,(IF($B$8&gt;$R$7,(IF($B$8&gt;$R$8,(IF($B$8&gt;$R$9,(IF($B$8&gt;$R$10,(IF($B$8&gt;$R$11,(IF($B$8&gt;$R$12,(IF($B$8&gt;$R$13,(IF($B$8&gt;$R$14,(IF($B$8&gt;$R$15,(IF($B$8&gt;$R$16,(IF($B$8&gt;$R$17,(IF($B$8&gt;$R$18,(IF($B$8&gt;$R$19,(IF($B$8&gt;$R$20,(IF($B$8&gt;$R$21,(IF($B$8&gt;$R$22,(IF($B$8&gt;$R$23,(IF($B$8&gt;$Q$24,"BIGGER",(IF(B$12&gt;$S$3,"SMALLER",S24)))),(IF(B$12&gt;$S$3,(IF(B$12&gt;$T$3,"SMALLER",T23)),S23)))),(IF(B$12&gt;$S$3,(IF(B$12&gt;$T$3,(IF(B$12&gt;$U$3,"SMALLER",U22)),T22)),S22)))),(IF(B$12&gt;$S$3,(IF(B$12&gt;$T$3,(IF(B$12&gt;$U$3,(IF(B$12&gt;$V$3,"SMALLER",V21)),U21)),T21)),S21)))),(IF(B$12&gt;$S$3,(IF(B$12&gt;$T$3,(IF(B$12&gt;$U$3,(IF(B$12&gt;$V$3,(IF(B$12&gt;$W$3,"SMALLER",W20)),V20)),U20)),T20)),S20)))),(IF(B$12&gt;$S$3,(IF(B$12&gt;$T$3,(IF(B$12&gt;$U$3,(IF(B$12&gt;$V$3,(IF(B$12&gt;$W$3,(IF(B$12&gt;$X$3,"SMALLER",X19)),W19)),V19)),U19)),T19)),S19)))),(IF(B$12&gt;$S$3,(IF(B$12&gt;$T$3,(IF(B$12&gt;$U$3,(IF(B$12&gt;$V$3,(IF(B$12&gt;$W$3,(IF(B$12&gt;$X$3,(IF(B$12&gt;$Y$3,"SMALLER",Y18)),X18)),W18)),V18)),U18)),T18)),S18)))),(IF(B$12&gt;$S$3,(IF(B$12&gt;$T$3,(IF(B$12&gt;$U$3,(IF(B$12&gt;$V$3,(IF(B$12&gt;$W$3,(IF(B$12&gt;$X$3,(IF(B$12&gt;$Y$3,(IF(B$12&gt;$Z$3,"SMALLER",Z17)),Y17)),X17)),W17)),V17)),U17)),T17)),S17)))),(IF(B$12&gt;$S$3,(IF(B$12&gt;$T$3,(IF(B$12&gt;$U$3,(IF(B$12&gt;$V$3,(IF(B$12&gt;$W$3,(IF(B$12&gt;$X$3,(IF(B$12&gt;$Y$3,(IF(B$12&gt;$Z$3,(IF(B$12&gt;$AA$3,"SMALLER",AA16)),Z16)),Y16)),X16)),W16)),V16)),U16)),T16)),S16)))),(IF(B$12&gt;$S$3,(IF(B$12&gt;$T$3,(IF(B$12&gt;$U$3,(IF(B$12&gt;$V$3,(IF(B$12&gt;$W$3,(IF(B$12&gt;$X$3,(IF(B$12&gt;$Y$3,(IF(B$12&gt;$Z$3,(IF(B$12&gt;$AA$3,(IF(B$12&gt;$AB$3,"SMALLER",AB15)),AA15)),Z15)),Y15)),X15)),W15)),V15)),U15)),T15)),S15)))),(IF(B$12&gt;$S$3,(IF(B$12&gt;$T$3,(IF(B$12&gt;$U$3,(IF(B$12&gt;$V$3,(IF(B$12&gt;$W$3,(IF(B$12&gt;$X$3,(IF(B$12&gt;$Y$3,(IF(B$12&gt;$Z$3,(IF(B$12&gt;$AA$3,(IF(B$12&gt;$AB$3,(IF(B$12&gt;$AC$3,"SMALLER",AC14)),AB14)),AA14)),Z14)),Y14)),X14)),W14)),V14)),U14)),T14)),S14)))),(IF(B$12&gt;$S$3,(IF(B$12&gt;$T$3,(IF(B$12&gt;$U$3,(IF(B$12&gt;$V$3,(IF(B$12&gt;$W$3,(IF(B$12&gt;$X$3,(IF(B$12&gt;$Y$3,(IF(B$12&gt;$Z$3,(IF(B$12&gt;$AA$3,(IF(B$12&gt;$AB$3,(IF(B$12&gt;$AC$3,(IF(B$12&gt;$AD$3,"SMALLER",AD13)),AC13)),AB13)),AA13)),Z13)),Y13)),X13)),W13)),V13)),U13)),T13)),S13)))),(IF(B$12&gt;$S$3,(IF(B$12&gt;$T$3,(IF(B$12&gt;$U$3,(IF(B$12&gt;$V$3,(IF(B$12&gt;$W$3,(IF(B$12&gt;$X$3,(IF(B$12&gt;$Y$3,(IF(B$12&gt;$Z$3,(IF(B$12&gt;$AA$3,(IF(B$12&gt;$AB$3,(IF(B$12&gt;$AC$3,(IF(B$12&gt;$AD$3,(IF(B$12&gt;$AE$3,"SMALLER",AE12)),AD12)),AC12)),AB12)),AA12)),Z12)),Y12)),X12)),W12)),V12)),U12)),T12)),S12)))),(IF(B$12&gt;$S$3,(IF(B$12&gt;$T$3,(IF(B$12&gt;$U$3,(IF(B$12&gt;$V$3,(IF(B$12&gt;$W$3,(IF(B$12&gt;$X$3,(IF(B$12&gt;$Y$3,(IF(B$12&gt;$Z$3,(IF(B$12&gt;$AA$3,(IF(B$12&gt;$AB$3,(IF(B$12&gt;$AC$3,(IF(B$12&gt;$AD$3,(IF(B$12&gt;$AE$3,(IF(B$12&gt;$AF$3,"SMALLER",AF11)),AE11)),AD11)),AC11)),AB11)),AA11)),Z11)),Y11)),X11)),W11)),V11)),U11)),T11)),S11)))),(IF(B$12&gt;$S$3,(IF(B$12&gt;$T$3,(IF(B$12&gt;$U$3,(IF(B$12&gt;$V$3,(IF(B$12&gt;$W$3,(IF(B$12&gt;$X$3,(IF(B$12&gt;$Y$3,(IF(B$12&gt;$Z$3,(IF(B$12&gt;$AA$3,(IF(B$12&gt;$AB$3,(IF(B$12&gt;$AC$3,(IF(B$12&gt;$AD$3,(IF(B$12&gt;$AE$3,(IF(B$12&gt;$AF$3,(IF(B$12&gt;$AG$3,"SMALLER",AG10)),AF10)),AE10)),AD10)),AC10)),AB10)),AA10)),Z10)),Y10)),X10)),W10)),V10)),U10)),T10)),S10)))),(IF(B$12&gt;$S$3,(IF(B$12&gt;$T$3,(IF(B$12&gt;$U$3,(IF(B$12&gt;$V$3,(IF(B$12&gt;$W$3,(IF(B$12&gt;$X$3,(IF(B$12&gt;$Y$3,(IF(B$12&gt;$Z$3,(IF(B$12&gt;$AA$3,(IF(B$12&gt;$AB$3,(IF(B$12&gt;$AC$3,(IF(B$12&gt;$AD$3,(IF(B$12&gt;$AE$3,(IF(B$12&gt;$AF$3,(IF(B$12&gt;$AG$3,(IF(B$12&gt;$AH$3,"SMALLER",AH9)),AG9)),AF9)),AE9)),AD9)),AC9)),AB9)),AA9)),Z9)),Y9)),X9)),W9)),V9)),U9)),T9)),S9)))),(IF(B$12&gt;$S$3,(IF(B$12&gt;$T$3,(IF(B$12&gt;$U$3,(IF(B$12&gt;$V$3,(IF(B$12&gt;$W$3,(IF(B$12&gt;$X$3,(IF(B$12&gt;$Y$3,(IF(B$12&gt;$Z$3,(IF(B$12&gt;$AA$3,(IF(B$12&gt;$AB$3,(IF(B$12&gt;$AC$3,(IF(B$12&gt;$AD$3,(IF(B$12&gt;$AE$3,(IF(B$12&gt;$AF$3,(IF(B$12&gt;$AG$3,(IF(B$12&gt;$AH$3,(IF(B$12&gt;$AI$3,"SMALLER",AI8)),AH8)),AG8)),AF8)),AE8)),AD8)),AC8)),AB8)),AA8)),Z8)),Y8)),X8)),W8)),V8)),U8)),T8)),S8)))),(IF(B$12&gt;$S$3,(IF(B$12&gt;$T$3,(IF(B$12&gt;$U$3,(IF(B$12&gt;$V$3,(IF(B$12&gt;$W$3,(IF(B$12&gt;$X$3,(IF(B$12&gt;$Y$3,(IF(B$12&gt;$Z$3,(IF(B$12&gt;$AA$3,(IF(B$12&gt;$AB$3,(IF(B$12&gt;$AC$3,(IF(B$12&gt;$AD$3,(IF(B$12&gt;$AE$3,(IF(B$12&gt;$AF$3,(IF(B$12&gt;$AG$3,(IF(B$12&gt;$AH$3,(IF(B$12&gt;$AI$3,(IF(B$12&gt;$AJ$3,"SMALLER",AJ7)),AI7)),AH7)),AG7)),AF7)),AE7)),AD7)),AC7)),AB7)),AA7)),Z7)),Y7)),X7)),W7)),V7)),U7)),T7)),S7)))),(IF(B$12&gt;$S$3,(IF(B$12&gt;$T$3,(IF(B$12&gt;$U$3,(IF(B$12&gt;$V$3,(IF(B$12&gt;$W$3,(IF(B$12&gt;$X$3,(IF(B$12&gt;$Y$3,(IF(B$12&gt;$Z$3,(IF(B$12&gt;$AA$3,(IF(B$12&gt;$AB$3,(IF(B$12&gt;$AC$3,(IF(B$12&gt;$AD$3,(IF(B$12&gt;$AE$3,(IF(B$12&gt;$AF$3,(IF(B$12&gt;$AG$3,(IF(B$12&gt;$AH$3,(IF(B$12&gt;$AI$3,(IF(B$12&gt;$AJ$3,(IF(B$12&gt;$AK$3,AK6,"SMALLER")),AJ6)),AI6)),AH6)),AG6)),AF6)),AE6)),AD6)),AC6)),AB6)),AA6)),Z6)),Y6)),X6)),W6)),V6)),U6)),T6)),S6)))),(IF(B$12&gt;$S$3,(IF(B$12&gt;$T$3,(IF(B$12&gt;$U$3,(IF(B$12&gt;$V$3,(IF(B$12&gt;$W$3,(IF(B$12&gt;$X$3,(IF(B$12&gt;$Y$3,(IF(B$12&gt;$Z$3,(IF(B$12&gt;$AA$3,(IF(B$12&gt;$AB$3,(IF(B$12&gt;$AC$3,(IF(B$12&gt;$AD$3,(IF(B$12&gt;$AE$3,(IF(B$12&gt;$AF$3,(IF(B$12&gt;$AG$3,(IF(B$12&gt;$AH$3,(IF(B$12&gt;$AI$3,(IF(B$12&gt;$AJ$3,(IF(B$12&gt;$AK$3,(IF(B$12&gt;$AL$3,AL5,"SMALLER")),AK5)),AJ5)),AI5)),AH5)),AG5)),AF5)),AE5)),AD5)),AC5)),AB5)),AA5)),Z5)),Y5)),X5)),W5)),V5)),U5)),T5)),S5)))),(IF(B$12&gt;$S$3,(IF(B$12&gt;$T$3,(IF(B$12&gt;$U$3,(IF(B$12&gt;$V$3,(IF(B$12&gt;$W$3,(IF(B$12&gt;$X$3,(IF(B$12&gt;$Y$3,(IF(B$12&gt;$Z$3,(IF(B$12&gt;$AA$3,(IF(B$12&gt;$AB$3,(IF(B$12&gt;$AC$3,(IF(B$12&gt;$AD$3,(IF(B$12&gt;$AE$3,(IF(B$12&gt;$AF$3,(IF(B$12&gt;$AG$3,(IF(B$12&gt;$AH$3,(IF(B$12&gt;$AI$3,(IF(B$12&gt;$AJ$3,(IF(B$12&gt;$AK$3,(IF(B$12&gt;$AL$3,(IF(B$12&gt;$AM$3,"NA",AM4)),AL4)),AK4)),AJ4)),AI4)),AH4)),AG4)),AF4)),AE4)),AD4)),AC4)),AB4)),AA4)),Z4)),Y4)),X4)),W4)),V4)),U4)),T4)),S4)))</f>
        <v>BIGGER</v>
      </c>
      <c r="C19" s="178"/>
      <c r="D19" s="530"/>
      <c r="E19" s="572"/>
      <c r="F19" s="572"/>
      <c r="G19" s="673"/>
      <c r="H19" s="673"/>
      <c r="I19" s="673"/>
      <c r="J19" s="673"/>
      <c r="K19" s="673"/>
      <c r="L19" s="673"/>
      <c r="M19" s="673"/>
      <c r="N19" s="673"/>
      <c r="O19" s="673"/>
      <c r="P19" s="545"/>
      <c r="Q19" s="708"/>
      <c r="R19" s="5">
        <v>0.75</v>
      </c>
      <c r="S19" s="6">
        <v>-4</v>
      </c>
      <c r="T19" s="6">
        <v>-4</v>
      </c>
      <c r="U19" s="6">
        <v>-5</v>
      </c>
      <c r="V19" s="6">
        <v>-5</v>
      </c>
      <c r="W19" s="6">
        <v>-5</v>
      </c>
      <c r="X19" s="6">
        <v>-5</v>
      </c>
      <c r="Y19" s="6"/>
      <c r="Z19" s="593"/>
      <c r="AA19" s="593"/>
      <c r="AB19" s="593"/>
      <c r="AC19" s="593"/>
      <c r="AD19" s="593"/>
      <c r="AE19" s="593"/>
      <c r="AF19" s="593"/>
      <c r="AG19" s="593"/>
      <c r="AH19" s="593"/>
      <c r="AI19" s="593"/>
      <c r="AJ19" s="593"/>
      <c r="AK19" s="593"/>
      <c r="AL19" s="593"/>
      <c r="AM19" s="593"/>
    </row>
    <row r="20" spans="1:39" s="90" customFormat="1" ht="20.100000000000001" customHeight="1" x14ac:dyDescent="0.2">
      <c r="A20" s="138" t="s">
        <v>165</v>
      </c>
      <c r="B20" s="344">
        <f>IF(B$9&gt;$R$4,(IF(B$9&gt;$R$5,(IF(B$9&gt;$R$6,(IF(B$9&gt;$R$7,(IF(B$9&gt;$R$8,(IF(B$9&gt;$R$9,(IF(B$9&gt;$R$10,(IF(B$9&gt;$R$11,(IF(B$9&gt;$R$12,(IF(B$9&gt;$R$13,(IF(B$9&gt;$R$14,(IF(B$9&gt;$R$15,(IF(B$9&gt;$R$16,(IF(B$9&gt;$R$17,(IF(B$9&gt;$R$18,(IF(B$9&gt;$R$19,(IF(B$9&gt;$R$20,(IF(B$9&gt;$R$21,(IF(B$9&gt;$R$22,(IF(B$9&gt;$R$23,(IF(B$9&gt;$Q$24,"BIGGER",(IF(B$13&gt;$S$3,"SMALLER",S24)))),(IF(B$13&gt;$S$3,(IF(B$13&gt;$T$3,"SMALLER",T23)),S23)))),(IF(B$13&gt;$S$3,(IF(B$13&gt;$T$3,(IF(B$13&gt;$U$3,"SMALLER",U22)),T22)),S22)))),(IF(B$13&gt;$S$3,(IF(B$13&gt;$T$3,(IF(B$13&gt;$U$3,(IF(B$13&gt;$V$3,"SMALLER",V21)),U21)),T21)),S21)))),(IF(B$13&gt;$S$3,(IF(B$13&gt;$T$3,(IF(B$13&gt;$U$3,(IF(B$13&gt;$V$3,(IF(B$13&gt;$W$3,"SMALLER",W20)),V20)),U20)),T20)),S20)))),(IF(B$13&gt;$S$3,(IF(B$13&gt;$T$3,(IF(B$13&gt;$U$3,(IF(B$13&gt;$V$3,(IF(B$13&gt;$W$3,(IF(B$13&gt;$X$3,"SMALLER",X19)),W19)),V19)),U19)),T19)),S19)))),(IF(B$13&gt;$S$3,(IF(B$13&gt;$T$3,(IF(B$13&gt;$U$3,(IF(B$13&gt;$V$3,(IF(B$13&gt;$W$3,(IF(B$13&gt;$X$3,(IF(B$13&gt;$Y$3,"SMALLER",Y18)),X18)),W18)),V18)),U18)),T18)),S18)))),(IF(B$13&gt;$S$3,(IF(B$13&gt;$T$3,(IF(B$13&gt;$U$3,(IF(B$13&gt;$V$3,(IF(B$13&gt;$W$3,(IF(B$13&gt;$X$3,(IF(B$13&gt;$Y$3,(IF(B$13&gt;$Z$3,"SMALLER",Z17)),Y17)),X17)),W17)),V17)),U17)),T17)),S17)))),(IF(B$13&gt;$S$3,(IF(B$13&gt;$T$3,(IF(B$13&gt;$U$3,(IF(B$13&gt;$V$3,(IF(B$13&gt;$W$3,(IF(B$13&gt;$X$3,(IF(B$13&gt;$Y$3,(IF(B$13&gt;$Z$3,(IF(B$13&gt;$AA$3,"SMALLER",AA16)),Z16)),Y16)),X16)),W16)),V16)),U16)),T16)),S16)))),(IF(B$13&gt;$S$3,(IF(B$13&gt;$T$3,(IF(B$13&gt;$U$3,(IF(B$13&gt;$V$3,(IF(B$13&gt;$W$3,(IF(B$13&gt;$X$3,(IF(B$13&gt;$Y$3,(IF(B$13&gt;$Z$3,(IF(B$13&gt;$AA$3,(IF(B$13&gt;$AB$3,"SMALLER",AB15)),AA15)),Z15)),Y15)),X15)),W15)),V15)),U15)),T15)),S15)))),(IF(B$13&gt;$S$3,(IF(B$13&gt;$T$3,(IF(B$13&gt;$U$3,(IF(B$13&gt;$V$3,(IF(B$13&gt;$W$3,(IF(B$13&gt;$X$3,(IF(B$13&gt;$Y$3,(IF(B$13&gt;$Z$3,(IF(B$13&gt;$AA$3,(IF(B$13&gt;$AB$3,(IF(B$13&gt;$AC$3,"SMALLER",AC14)),AB14)),AA14)),Z14)),Y14)),X14)),W14)),V14)),U14)),T14)),S14)))),(IF(B$13&gt;$S$3,(IF(B$13&gt;$T$3,(IF(B$13&gt;$U$3,(IF(B$13&gt;$V$3,(IF(B$13&gt;$W$3,(IF(B$13&gt;$X$3,(IF(B$13&gt;$Y$3,(IF(B$13&gt;$Z$3,(IF(B$13&gt;$AA$3,(IF(B$13&gt;$AB$3,(IF(B$13&gt;$AC$3,(IF(B$13&gt;$AD$3,"SMALLER",AD13)),AC13)),AB13)),AA13)),Z13)),Y13)),X13)),W13)),V13)),U13)),T13)),S13)))),(IF(B$13&gt;$S$3,(IF(B$13&gt;$T$3,(IF(B$13&gt;$U$3,(IF(B$13&gt;$V$3,(IF(B$13&gt;$W$3,(IF(B$13&gt;$X$3,(IF(B$13&gt;$Y$3,(IF(B$13&gt;$Z$3,(IF(B$13&gt;$AA$3,(IF(B$13&gt;$AB$3,(IF(B$13&gt;$AC$3,(IF(B$13&gt;$AD$3,(IF(B$13&gt;$AE$3,"SMALLER",AE12)),AD12)),AC12)),AB12)),AA12)),Z12)),Y12)),X12)),W12)),V12)),U12)),T12)),S12)))),(IF(B$13&gt;$S$3,(IF(B$13&gt;$T$3,(IF(B$13&gt;$U$3,(IF(B$13&gt;$V$3,(IF(B$13&gt;$W$3,(IF(B$13&gt;$X$3,(IF(B$13&gt;$Y$3,(IF(B$13&gt;$Z$3,(IF(B$13&gt;$AA$3,(IF(B$13&gt;$AB$3,(IF(B$13&gt;$AC$3,(IF(B$13&gt;$AD$3,(IF(B$13&gt;$AE$3,(IF(B$13&gt;$AF$3,"SMALLER",AF11)),AE11)),AD11)),AC11)),AB11)),AA11)),Z11)),Y11)),X11)),W11)),V11)),U11)),T11)),S11)))),(IF(B$13&gt;$S$3,(IF(B$13&gt;$T$3,(IF(B$13&gt;$U$3,(IF(B$13&gt;$V$3,(IF(B$13&gt;$W$3,(IF(B$13&gt;$X$3,(IF(B$13&gt;$Y$3,(IF(B$13&gt;$Z$3,(IF(B$13&gt;$AA$3,(IF(B$13&gt;$AB$3,(IF(B$13&gt;$AC$3,(IF(B$13&gt;$AD$3,(IF(B$13&gt;$AE$3,(IF(B$13&gt;$AF$3,(IF(B$13&gt;$AG$3,"SMALLER",AG10)),AF10)),AE10)),AD10)),AC10)),AB10)),AA10)),Z10)),Y10)),X10)),W10)),V10)),U10)),T10)),S10)))),(IF(B$13&gt;$S$3,(IF(B$13&gt;$T$3,(IF(B$13&gt;$U$3,(IF(B$13&gt;$V$3,(IF(B$13&gt;$W$3,(IF(B$13&gt;$X$3,(IF(B$13&gt;$Y$3,(IF(B$13&gt;$Z$3,(IF(B$13&gt;$AA$3,(IF(B$13&gt;$AB$3,(IF(B$13&gt;$AC$3,(IF(B$13&gt;$AD$3,(IF(B$13&gt;$AE$3,(IF(B$13&gt;$AF$3,(IF(B$13&gt;$AG$3,(IF(B$13&gt;$AH$3,"SMALLER",AH9)),AG9)),AF9)),AE9)),AD9)),AC9)),AB9)),AA9)),Z9)),Y9)),X9)),W9)),V9)),U9)),T9)),S9)))),(IF(B$13&gt;$S$3,(IF(B$13&gt;$T$3,(IF(B$13&gt;$U$3,(IF(B$13&gt;$V$3,(IF(B$13&gt;$W$3,(IF(B$13&gt;$X$3,(IF(B$13&gt;$Y$3,(IF(B$13&gt;$Z$3,(IF(B$13&gt;$AA$3,(IF(B$13&gt;$AB$3,(IF(B$13&gt;$AC$3,(IF(B$13&gt;$AD$3,(IF(B$13&gt;$AE$3,(IF(B$13&gt;$AF$3,(IF(B$13&gt;$AG$3,(IF(B$13&gt;$AH$3,(IF(B$13&gt;$AI$3,"SMALLER",AI8)),AH8)),AG8)),AF8)),AE8)),AD8)),AC8)),AB8)),AA8)),Z8)),Y8)),X8)),W8)),V8)),U8)),T8)),S8)))),(IF(B$13&gt;$S$3,(IF(B$13&gt;$T$3,(IF(B$13&gt;$U$3,(IF(B$13&gt;$V$3,(IF(B$13&gt;$W$3,(IF(B$13&gt;$X$3,(IF(B$13&gt;$Y$3,(IF(B$13&gt;$Z$3,(IF(B$13&gt;$AA$3,(IF(B$13&gt;$AB$3,(IF(B$13&gt;$AC$3,(IF(B$13&gt;$AD$3,(IF(B$13&gt;$AE$3,(IF(B$13&gt;$AF$3,(IF(B$13&gt;$AG$3,(IF(B$13&gt;$AH$3,(IF(B$13&gt;$AI$3,(IF(B$13&gt;$AJ$3,"SMALLER",AJ7)),AI7)),AH7)),AG7)),AF7)),AE7)),AD7)),AC7)),AB7)),AA7)),Z7)),Y7)),X7)),W7)),V7)),U7)),T7)),S7)))),(IF(B$13&gt;$S$3,(IF(B$13&gt;$T$3,(IF(B$13&gt;$U$3,(IF(B$13&gt;$V$3,(IF(B$13&gt;$W$3,(IF(B$13&gt;$X$3,(IF(B$13&gt;$Y$3,(IF(B$13&gt;$Z$3,(IF(B$13&gt;$AA$3,(IF(B$13&gt;$AB$3,(IF(B$13&gt;$AC$3,(IF(B$13&gt;$AD$3,(IF(B$13&gt;$AE$3,(IF(B$13&gt;$AF$3,(IF(B$13&gt;$AG$3,(IF(B$13&gt;$AH$3,(IF(B$13&gt;$AI$3,(IF(B$13&gt;$AJ$3,(IF(B$13&gt;$AK$3,AK6,"SMALLER")),AJ6)),AI6)),AH6)),AG6)),AF6)),AE6)),AD6)),AC6)),AB6)),AA6)),Z6)),Y6)),X6)),W6)),V6)),U6)),T6)),S6)))),(IF(B$13&gt;$S$3,(IF(B$13&gt;$T$3,(IF(B$13&gt;$U$3,(IF(B$13&gt;$V$3,(IF(B$13&gt;$W$3,(IF(B$13&gt;$X$3,(IF(B$13&gt;$Y$3,(IF(B$13&gt;$Z$3,(IF(B$13&gt;$AA$3,(IF(B$13&gt;$AB$3,(IF(B$13&gt;$AC$3,(IF(B$13&gt;$AD$3,(IF(B$13&gt;$AE$3,(IF(B$13&gt;$AF$3,(IF(B$13&gt;$AG$3,(IF(B$13&gt;$AH$3,(IF(B$13&gt;$AI$3,(IF(B$13&gt;$AJ$3,(IF(B$13&gt;$AK$3,(IF(B$13&gt;$AL$3,AL5,"SMALLER")),AK5)),AJ5)),AI5)),AH5)),AG5)),AF5)),AE5)),AD5)),AC5)),AB5)),AA5)),Z5)),Y5)),X5)),W5)),V5)),U5)),T5)),S5)))),(IF(B$13&gt;$S$3,(IF(B$13&gt;$T$3,(IF(B$13&gt;$U$3,(IF(B$13&gt;$V$3,(IF(B$13&gt;$W$3,(IF(B$13&gt;$X$3,(IF(B$13&gt;$Y$3,(IF(B$13&gt;$Z$3,(IF(B$13&gt;$AA$3,(IF(B$13&gt;$AB$3,(IF(B$13&gt;$AC$3,(IF(B$13&gt;$AD$3,(IF(B$13&gt;$AE$3,(IF(B$13&gt;$AF$3,(IF(B$13&gt;$AG$3,(IF(B$13&gt;$AH$3,(IF(B$13&gt;$AI$3,(IF(B$13&gt;$AJ$3,(IF(B$13&gt;$AK$3,(IF(B$13&gt;$AL$3,(IF(B$13&gt;$AM$3,"NA",AM4)),AL4)),AK4)),AJ4)),AI4)),AH4)),AG4)),AF4)),AE4)),AD4)),AC4)),AB4)),AA4)),Z4)),Y4)),X4)),W4)),V4)),U4)),T4)),S4)))</f>
        <v>-1</v>
      </c>
      <c r="C20" s="84"/>
      <c r="D20" s="543"/>
      <c r="E20" s="673"/>
      <c r="F20" s="673"/>
      <c r="G20" s="673"/>
      <c r="H20" s="673"/>
      <c r="I20" s="673"/>
      <c r="J20" s="673"/>
      <c r="K20" s="673"/>
      <c r="L20" s="673"/>
      <c r="M20" s="673"/>
      <c r="N20" s="673"/>
      <c r="O20" s="673"/>
      <c r="P20" s="545"/>
      <c r="Q20" s="708"/>
      <c r="R20" s="5">
        <v>0.8</v>
      </c>
      <c r="S20" s="6">
        <v>-5</v>
      </c>
      <c r="T20" s="6">
        <v>-5</v>
      </c>
      <c r="U20" s="6">
        <v>-5</v>
      </c>
      <c r="V20" s="6">
        <v>-5</v>
      </c>
      <c r="W20" s="6">
        <v>-5</v>
      </c>
      <c r="X20" s="593"/>
      <c r="Y20" s="593"/>
      <c r="Z20" s="593"/>
      <c r="AA20" s="593"/>
      <c r="AB20" s="593"/>
      <c r="AC20" s="593"/>
      <c r="AD20" s="593"/>
      <c r="AE20" s="593"/>
      <c r="AF20" s="593"/>
      <c r="AG20" s="593"/>
      <c r="AH20" s="593"/>
      <c r="AI20" s="593"/>
      <c r="AJ20" s="593"/>
      <c r="AK20" s="593"/>
      <c r="AL20" s="593"/>
      <c r="AM20" s="593"/>
    </row>
    <row r="21" spans="1:39" s="90" customFormat="1" ht="20.100000000000001" customHeight="1" x14ac:dyDescent="0.2">
      <c r="A21" s="139" t="s">
        <v>166</v>
      </c>
      <c r="B21" s="345" t="str">
        <f>(IF(B19="BIGGER","",-(B19-B20)/100))</f>
        <v/>
      </c>
      <c r="C21" s="178"/>
      <c r="D21" s="530"/>
      <c r="E21" s="572"/>
      <c r="F21" s="572"/>
      <c r="G21" s="673"/>
      <c r="H21" s="673"/>
      <c r="I21" s="673"/>
      <c r="J21" s="673"/>
      <c r="K21" s="673"/>
      <c r="L21" s="673"/>
      <c r="M21" s="673"/>
      <c r="N21" s="673"/>
      <c r="O21" s="673"/>
      <c r="P21" s="545"/>
      <c r="Q21" s="708"/>
      <c r="R21" s="5">
        <v>0.85</v>
      </c>
      <c r="S21" s="6">
        <v>-5</v>
      </c>
      <c r="T21" s="6">
        <v>-5</v>
      </c>
      <c r="U21" s="6">
        <v>-5</v>
      </c>
      <c r="V21" s="6">
        <v>-5</v>
      </c>
      <c r="W21" s="593"/>
      <c r="X21" s="593"/>
      <c r="Y21" s="593"/>
      <c r="Z21" s="593"/>
      <c r="AA21" s="593"/>
      <c r="AB21" s="593"/>
      <c r="AC21" s="593"/>
      <c r="AD21" s="593"/>
      <c r="AE21" s="593"/>
      <c r="AF21" s="593"/>
      <c r="AG21" s="593"/>
      <c r="AH21" s="593"/>
      <c r="AI21" s="593"/>
      <c r="AJ21" s="593"/>
      <c r="AK21" s="593"/>
      <c r="AL21" s="593"/>
      <c r="AM21" s="593"/>
    </row>
    <row r="22" spans="1:39" s="90" customFormat="1" ht="20.100000000000001" customHeight="1" x14ac:dyDescent="0.2">
      <c r="A22" s="47"/>
      <c r="B22" s="290"/>
      <c r="C22" s="84"/>
      <c r="D22" s="543"/>
      <c r="E22" s="673"/>
      <c r="F22" s="673"/>
      <c r="G22" s="673"/>
      <c r="H22" s="673"/>
      <c r="I22" s="673"/>
      <c r="J22" s="673"/>
      <c r="K22" s="673"/>
      <c r="L22" s="673"/>
      <c r="M22" s="673"/>
      <c r="N22" s="673"/>
      <c r="O22" s="673"/>
      <c r="P22" s="545"/>
      <c r="Q22" s="708"/>
      <c r="R22" s="5">
        <v>0.9</v>
      </c>
      <c r="S22" s="6">
        <v>-5</v>
      </c>
      <c r="T22" s="6">
        <v>-5</v>
      </c>
      <c r="U22" s="6">
        <v>-5</v>
      </c>
      <c r="V22" s="6"/>
      <c r="W22" s="593"/>
      <c r="X22" s="593"/>
      <c r="Y22" s="593"/>
      <c r="Z22" s="594"/>
      <c r="AA22" s="593"/>
      <c r="AB22" s="593"/>
      <c r="AC22" s="593"/>
      <c r="AD22" s="593"/>
      <c r="AE22" s="593"/>
      <c r="AF22" s="593"/>
      <c r="AG22" s="593"/>
      <c r="AH22" s="593"/>
      <c r="AI22" s="593"/>
      <c r="AJ22" s="593"/>
      <c r="AK22" s="593"/>
      <c r="AL22" s="593"/>
      <c r="AM22" s="593"/>
    </row>
    <row r="23" spans="1:39" s="90" customFormat="1" ht="30" customHeight="1" x14ac:dyDescent="0.2">
      <c r="A23" s="255" t="s">
        <v>167</v>
      </c>
      <c r="B23" s="389"/>
      <c r="C23" s="84"/>
      <c r="D23" s="543"/>
      <c r="E23" s="673"/>
      <c r="F23" s="673"/>
      <c r="G23" s="673"/>
      <c r="H23" s="673"/>
      <c r="I23" s="673"/>
      <c r="J23" s="673"/>
      <c r="K23" s="673"/>
      <c r="L23" s="673"/>
      <c r="M23" s="673"/>
      <c r="N23" s="673"/>
      <c r="O23" s="673"/>
      <c r="P23" s="545"/>
      <c r="Q23" s="708"/>
      <c r="R23" s="5">
        <v>0.95</v>
      </c>
      <c r="S23" s="6">
        <v>-5</v>
      </c>
      <c r="T23" s="6">
        <v>-6</v>
      </c>
      <c r="U23" s="593"/>
      <c r="V23" s="593"/>
      <c r="W23" s="593"/>
      <c r="X23" s="593"/>
      <c r="Y23" s="593"/>
      <c r="Z23" s="593"/>
      <c r="AA23" s="593"/>
      <c r="AB23" s="593"/>
      <c r="AC23" s="593"/>
      <c r="AD23" s="593"/>
      <c r="AE23" s="593"/>
      <c r="AF23" s="593"/>
      <c r="AG23" s="593"/>
      <c r="AH23" s="593"/>
      <c r="AI23" s="593"/>
      <c r="AJ23" s="593"/>
      <c r="AK23" s="593"/>
      <c r="AL23" s="593"/>
      <c r="AM23" s="593"/>
    </row>
    <row r="24" spans="1:39" s="90" customFormat="1" ht="20.100000000000001" customHeight="1" x14ac:dyDescent="0.2">
      <c r="A24" s="159" t="s">
        <v>164</v>
      </c>
      <c r="B24" s="343" t="str">
        <f>IF(B19="BIGGER", "", (B19*-0.4))</f>
        <v/>
      </c>
      <c r="C24" s="84"/>
      <c r="D24" s="543"/>
      <c r="E24" s="673"/>
      <c r="F24" s="673"/>
      <c r="G24" s="673"/>
      <c r="H24" s="673"/>
      <c r="I24" s="673"/>
      <c r="J24" s="673"/>
      <c r="K24" s="673"/>
      <c r="L24" s="673"/>
      <c r="M24" s="673"/>
      <c r="N24" s="673"/>
      <c r="O24" s="673"/>
      <c r="P24" s="545"/>
      <c r="Q24" s="709">
        <v>1</v>
      </c>
      <c r="R24" s="709"/>
      <c r="S24" s="6">
        <v>-6</v>
      </c>
      <c r="T24" s="6"/>
      <c r="U24" s="594"/>
      <c r="V24" s="594"/>
      <c r="W24" s="594"/>
      <c r="X24" s="594"/>
      <c r="Y24" s="594"/>
      <c r="Z24" s="593"/>
      <c r="AA24" s="593"/>
      <c r="AB24" s="593"/>
      <c r="AC24" s="593"/>
      <c r="AD24" s="593"/>
      <c r="AE24" s="593"/>
      <c r="AF24" s="593"/>
      <c r="AG24" s="593"/>
      <c r="AH24" s="593"/>
      <c r="AI24" s="593"/>
      <c r="AJ24" s="593"/>
      <c r="AK24" s="593"/>
      <c r="AL24" s="593"/>
      <c r="AM24" s="593"/>
    </row>
    <row r="25" spans="1:39" s="90" customFormat="1" ht="20.100000000000001" customHeight="1" x14ac:dyDescent="0.2">
      <c r="A25" s="138" t="s">
        <v>165</v>
      </c>
      <c r="B25" s="344">
        <f>IF(B20="BIGGER", "", (B20*-0.4))</f>
        <v>0.4</v>
      </c>
      <c r="C25" s="84"/>
      <c r="D25" s="543"/>
      <c r="E25" s="673"/>
      <c r="F25" s="673"/>
      <c r="G25" s="673"/>
      <c r="H25" s="673"/>
      <c r="I25" s="673"/>
      <c r="J25" s="673"/>
      <c r="K25" s="673"/>
      <c r="L25" s="673"/>
      <c r="M25" s="673"/>
      <c r="N25" s="673"/>
      <c r="O25" s="673"/>
      <c r="P25" s="545"/>
      <c r="Q25" s="707"/>
      <c r="R25" s="707"/>
      <c r="S25" s="705"/>
      <c r="T25" s="673"/>
      <c r="U25" s="705"/>
      <c r="V25" s="705"/>
      <c r="W25" s="705"/>
      <c r="X25" s="705"/>
      <c r="Y25" s="705"/>
      <c r="Z25" s="673"/>
      <c r="AA25" s="705"/>
      <c r="AB25" s="705"/>
      <c r="AC25" s="705"/>
      <c r="AD25" s="705"/>
      <c r="AE25" s="705"/>
      <c r="AF25" s="673"/>
      <c r="AG25" s="705"/>
      <c r="AH25" s="705"/>
      <c r="AI25" s="705"/>
      <c r="AJ25" s="705"/>
      <c r="AK25" s="705"/>
      <c r="AL25" s="673"/>
      <c r="AM25" s="673"/>
    </row>
    <row r="26" spans="1:39" s="568" customFormat="1" ht="20.100000000000001" customHeight="1" x14ac:dyDescent="0.2">
      <c r="A26" s="139" t="s">
        <v>166</v>
      </c>
      <c r="B26" s="345" t="str">
        <f>IF(B24="","",(B24-B25)/100)</f>
        <v/>
      </c>
      <c r="C26" s="84"/>
      <c r="D26" s="543"/>
      <c r="E26" s="673"/>
      <c r="F26" s="673"/>
      <c r="G26" s="673"/>
      <c r="H26" s="673"/>
      <c r="I26" s="673"/>
      <c r="J26" s="673"/>
      <c r="K26" s="673"/>
      <c r="L26" s="673"/>
      <c r="M26" s="673"/>
      <c r="N26" s="673"/>
      <c r="O26" s="673"/>
      <c r="P26" s="54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row>
    <row r="27" spans="1:39" ht="20.100000000000001" customHeight="1" x14ac:dyDescent="0.2">
      <c r="A27" s="47"/>
      <c r="B27" s="290"/>
      <c r="C27" s="84"/>
      <c r="E27" s="673"/>
      <c r="F27" s="673"/>
      <c r="G27" s="673"/>
      <c r="H27" s="673"/>
      <c r="I27" s="673"/>
      <c r="J27" s="673"/>
      <c r="K27" s="673"/>
      <c r="L27" s="673"/>
      <c r="M27" s="673"/>
      <c r="N27" s="673"/>
      <c r="O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row>
    <row r="28" spans="1:39" ht="30" customHeight="1" x14ac:dyDescent="0.2">
      <c r="A28" s="255" t="s">
        <v>168</v>
      </c>
      <c r="B28" s="389"/>
      <c r="C28" s="84"/>
      <c r="E28" s="673"/>
      <c r="F28" s="673"/>
      <c r="G28" s="673"/>
      <c r="H28" s="673"/>
      <c r="I28" s="673"/>
      <c r="J28" s="673"/>
      <c r="K28" s="673"/>
      <c r="L28" s="673"/>
      <c r="M28" s="673"/>
      <c r="N28" s="673"/>
      <c r="O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row>
    <row r="29" spans="1:39" ht="20.100000000000001" customHeight="1" x14ac:dyDescent="0.2">
      <c r="A29" s="159" t="s">
        <v>169</v>
      </c>
      <c r="B29" s="339" t="str">
        <f>(B10)</f>
        <v/>
      </c>
      <c r="C29" s="84"/>
      <c r="E29" s="673"/>
      <c r="F29" s="673"/>
      <c r="G29" s="673"/>
      <c r="H29" s="673"/>
      <c r="I29" s="673"/>
      <c r="J29" s="673"/>
      <c r="K29" s="673"/>
      <c r="L29" s="673"/>
      <c r="M29" s="673"/>
      <c r="N29" s="673"/>
      <c r="O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row>
    <row r="30" spans="1:39" ht="20.100000000000001" customHeight="1" x14ac:dyDescent="0.2">
      <c r="A30" s="138" t="s">
        <v>170</v>
      </c>
      <c r="B30" s="340" t="str">
        <f>(IF(B29="","",((B29)*15)))</f>
        <v/>
      </c>
      <c r="C30" s="84"/>
      <c r="E30" s="673"/>
      <c r="F30" s="673"/>
      <c r="G30" s="673"/>
      <c r="H30" s="673"/>
      <c r="I30" s="673"/>
      <c r="J30" s="673"/>
      <c r="K30" s="673"/>
      <c r="L30" s="673"/>
      <c r="M30" s="673"/>
      <c r="N30" s="673"/>
      <c r="O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row>
    <row r="31" spans="1:39" ht="20.100000000000001" customHeight="1" x14ac:dyDescent="0.2">
      <c r="A31" s="138" t="s">
        <v>171</v>
      </c>
      <c r="B31" s="341" t="str">
        <f>(B14)</f>
        <v/>
      </c>
      <c r="C31" s="84"/>
      <c r="E31" s="673"/>
      <c r="F31" s="673"/>
      <c r="G31" s="673"/>
      <c r="H31" s="673"/>
      <c r="I31" s="673"/>
      <c r="J31" s="673"/>
      <c r="K31" s="673"/>
      <c r="L31" s="673"/>
      <c r="M31" s="673"/>
      <c r="N31" s="673"/>
      <c r="O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row>
    <row r="32" spans="1:39" ht="20.100000000000001" customHeight="1" x14ac:dyDescent="0.2">
      <c r="A32" s="139" t="s">
        <v>170</v>
      </c>
      <c r="B32" s="342" t="str">
        <f>(IF(B31="","",((B31*4))))</f>
        <v/>
      </c>
      <c r="C32" s="84"/>
      <c r="E32" s="673"/>
      <c r="F32" s="673"/>
      <c r="G32" s="673"/>
      <c r="H32" s="673"/>
      <c r="I32" s="673"/>
      <c r="J32" s="673"/>
      <c r="K32" s="673"/>
      <c r="L32" s="673"/>
      <c r="M32" s="673"/>
      <c r="N32" s="673"/>
      <c r="O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row>
    <row r="33" spans="1:15" ht="20.100000000000001" customHeight="1" x14ac:dyDescent="0.2">
      <c r="A33" s="47"/>
      <c r="B33" s="124"/>
      <c r="C33" s="84"/>
      <c r="E33" s="673"/>
      <c r="F33" s="673"/>
      <c r="G33" s="673"/>
      <c r="H33" s="673"/>
      <c r="I33" s="673"/>
      <c r="J33" s="673"/>
      <c r="K33" s="673"/>
      <c r="L33" s="673"/>
      <c r="M33" s="673"/>
      <c r="N33" s="673"/>
      <c r="O33" s="673"/>
    </row>
    <row r="34" spans="1:15" ht="20.100000000000001" customHeight="1" x14ac:dyDescent="0.2">
      <c r="A34" s="283" t="s">
        <v>172</v>
      </c>
      <c r="B34" s="284" t="str">
        <f>IF(B32="","",SUM(B30+B32))</f>
        <v/>
      </c>
      <c r="C34" s="84"/>
      <c r="E34" s="673"/>
      <c r="F34" s="673"/>
      <c r="G34" s="673"/>
      <c r="H34" s="673"/>
      <c r="I34" s="673"/>
      <c r="J34" s="673"/>
      <c r="K34" s="673"/>
      <c r="L34" s="673"/>
      <c r="M34" s="673"/>
      <c r="N34" s="673"/>
      <c r="O34" s="673"/>
    </row>
    <row r="35" spans="1:15" ht="20.100000000000001" customHeight="1" x14ac:dyDescent="0.2">
      <c r="A35" s="47"/>
      <c r="B35" s="124"/>
      <c r="C35" s="84"/>
      <c r="E35" s="673"/>
      <c r="F35" s="673"/>
      <c r="G35" s="673"/>
      <c r="H35" s="673"/>
      <c r="I35" s="673"/>
      <c r="J35" s="673"/>
      <c r="K35" s="673"/>
      <c r="L35" s="673"/>
      <c r="M35" s="673"/>
      <c r="N35" s="673"/>
      <c r="O35" s="673"/>
    </row>
    <row r="36" spans="1:15" ht="30" customHeight="1" x14ac:dyDescent="0.2">
      <c r="A36" s="278" t="s">
        <v>173</v>
      </c>
      <c r="B36" s="275"/>
      <c r="C36" s="282"/>
      <c r="D36" s="577"/>
      <c r="E36" s="578"/>
      <c r="F36" s="578"/>
      <c r="G36" s="578"/>
      <c r="H36" s="578"/>
      <c r="I36" s="579"/>
      <c r="J36" s="579"/>
      <c r="K36" s="579"/>
      <c r="L36" s="579"/>
      <c r="M36" s="579"/>
      <c r="N36" s="579"/>
      <c r="O36" s="673"/>
    </row>
    <row r="37" spans="1:15" ht="20.100000000000001" customHeight="1" x14ac:dyDescent="0.2">
      <c r="A37" s="47"/>
      <c r="B37" s="124"/>
      <c r="C37" s="84"/>
      <c r="E37" s="673"/>
      <c r="F37" s="673"/>
      <c r="G37" s="705"/>
      <c r="H37" s="705"/>
      <c r="I37" s="673"/>
      <c r="J37" s="673"/>
      <c r="K37" s="673"/>
      <c r="L37" s="673"/>
      <c r="M37" s="673"/>
      <c r="N37" s="673"/>
      <c r="O37" s="673"/>
    </row>
    <row r="38" spans="1:15" ht="30" customHeight="1" x14ac:dyDescent="0.2">
      <c r="A38" s="255" t="s">
        <v>129</v>
      </c>
      <c r="B38" s="388"/>
      <c r="C38" s="84"/>
      <c r="E38" s="673"/>
      <c r="F38" s="673"/>
      <c r="G38" s="673"/>
      <c r="H38" s="673"/>
      <c r="I38" s="673"/>
      <c r="J38" s="673"/>
      <c r="K38" s="673"/>
      <c r="L38" s="673"/>
      <c r="M38" s="673"/>
      <c r="N38" s="673"/>
      <c r="O38" s="673"/>
    </row>
    <row r="39" spans="1:15" ht="20.100000000000001" customHeight="1" x14ac:dyDescent="0.2">
      <c r="A39" s="159" t="s">
        <v>107</v>
      </c>
      <c r="B39" s="336" t="str">
        <f>(IF(B21="","",B21))</f>
        <v/>
      </c>
      <c r="C39" s="178"/>
      <c r="D39" s="530"/>
      <c r="E39" s="572"/>
      <c r="F39" s="572"/>
      <c r="G39" s="572"/>
      <c r="H39" s="572"/>
      <c r="I39" s="572"/>
      <c r="J39" s="572"/>
      <c r="K39" s="572"/>
      <c r="L39" s="572"/>
      <c r="M39" s="572"/>
      <c r="N39" s="572"/>
      <c r="O39" s="673"/>
    </row>
    <row r="40" spans="1:15" ht="20.100000000000001" customHeight="1" x14ac:dyDescent="0.2">
      <c r="A40" s="139" t="s">
        <v>108</v>
      </c>
      <c r="B40" s="338" t="str">
        <f>IF(B39="","",(B39*'Input Sheet'!I6*'Input Sheet'!B5)*100)</f>
        <v/>
      </c>
      <c r="C40" s="239"/>
      <c r="D40" s="580"/>
      <c r="E40" s="581"/>
      <c r="F40" s="581"/>
      <c r="G40" s="581"/>
      <c r="H40" s="581"/>
      <c r="I40" s="581"/>
      <c r="J40" s="581"/>
      <c r="K40" s="581"/>
      <c r="L40" s="581"/>
      <c r="M40" s="581"/>
      <c r="N40" s="581"/>
      <c r="O40" s="673"/>
    </row>
    <row r="41" spans="1:15" ht="20.100000000000001" customHeight="1" x14ac:dyDescent="0.2">
      <c r="A41" s="291"/>
      <c r="B41" s="124"/>
      <c r="C41" s="84"/>
      <c r="E41" s="673"/>
      <c r="F41" s="673"/>
      <c r="G41" s="673"/>
      <c r="H41" s="673"/>
      <c r="I41" s="673"/>
      <c r="J41" s="673"/>
      <c r="K41" s="673"/>
      <c r="L41" s="673"/>
      <c r="M41" s="673"/>
      <c r="N41" s="673"/>
      <c r="O41" s="673"/>
    </row>
    <row r="42" spans="1:15" ht="30" customHeight="1" x14ac:dyDescent="0.2">
      <c r="A42" s="255" t="s">
        <v>109</v>
      </c>
      <c r="B42" s="383"/>
      <c r="C42" s="236"/>
      <c r="D42" s="582"/>
      <c r="E42" s="583"/>
      <c r="F42" s="583"/>
      <c r="G42" s="583"/>
      <c r="H42" s="583"/>
      <c r="I42" s="583"/>
      <c r="J42" s="583"/>
      <c r="K42" s="583"/>
      <c r="L42" s="583"/>
      <c r="M42" s="583"/>
      <c r="N42" s="583"/>
      <c r="O42" s="673"/>
    </row>
    <row r="43" spans="1:15" ht="20.100000000000001" customHeight="1" x14ac:dyDescent="0.2">
      <c r="A43" s="159" t="s">
        <v>110</v>
      </c>
      <c r="B43" s="336" t="str">
        <f>(IF(B26="", "", B26))</f>
        <v/>
      </c>
      <c r="C43" s="84"/>
      <c r="E43" s="673"/>
      <c r="F43" s="673"/>
      <c r="G43" s="673"/>
      <c r="H43" s="673"/>
      <c r="I43" s="673"/>
      <c r="J43" s="673"/>
      <c r="K43" s="673"/>
      <c r="L43" s="673"/>
      <c r="M43" s="673"/>
      <c r="N43" s="673"/>
      <c r="O43" s="584"/>
    </row>
    <row r="44" spans="1:15" ht="20.100000000000001" customHeight="1" x14ac:dyDescent="0.2">
      <c r="A44" s="139" t="s">
        <v>108</v>
      </c>
      <c r="B44" s="337" t="str">
        <f>IF(B43="","",(B43*10*'Input Sheet'!B5)*100)</f>
        <v/>
      </c>
      <c r="C44" s="293"/>
      <c r="D44" s="585"/>
      <c r="E44" s="586"/>
      <c r="F44" s="673"/>
      <c r="G44" s="587"/>
      <c r="H44" s="587"/>
      <c r="I44" s="587"/>
      <c r="J44" s="587"/>
      <c r="K44" s="587"/>
      <c r="L44" s="587"/>
      <c r="M44" s="587"/>
      <c r="N44" s="587"/>
      <c r="O44" s="673"/>
    </row>
    <row r="45" spans="1:15" ht="20.100000000000001" customHeight="1" x14ac:dyDescent="0.2">
      <c r="A45" s="292"/>
      <c r="B45" s="269"/>
      <c r="C45" s="293"/>
      <c r="D45" s="585"/>
      <c r="E45" s="586"/>
      <c r="F45" s="673"/>
      <c r="G45" s="587"/>
      <c r="H45" s="587"/>
      <c r="I45" s="587"/>
      <c r="J45" s="587"/>
      <c r="K45" s="587"/>
      <c r="L45" s="587"/>
      <c r="M45" s="587"/>
      <c r="N45" s="587"/>
      <c r="O45" s="673"/>
    </row>
    <row r="46" spans="1:15" ht="30" customHeight="1" x14ac:dyDescent="0.2">
      <c r="A46" s="255" t="s">
        <v>174</v>
      </c>
      <c r="B46" s="390"/>
      <c r="C46" s="293"/>
      <c r="D46" s="585"/>
      <c r="E46" s="586"/>
      <c r="F46" s="673"/>
      <c r="G46" s="587"/>
      <c r="H46" s="587"/>
      <c r="I46" s="587"/>
      <c r="J46" s="587"/>
      <c r="K46" s="587"/>
      <c r="L46" s="587"/>
      <c r="M46" s="587"/>
      <c r="N46" s="587"/>
      <c r="O46" s="673"/>
    </row>
    <row r="47" spans="1:15" ht="20.100000000000001" customHeight="1" x14ac:dyDescent="0.2">
      <c r="A47" s="159" t="s">
        <v>175</v>
      </c>
      <c r="B47" s="334" t="str">
        <f>IF(B34="", "", B34)</f>
        <v/>
      </c>
      <c r="C47" s="293"/>
      <c r="D47" s="585"/>
      <c r="E47" s="586"/>
      <c r="F47" s="673"/>
      <c r="G47" s="587"/>
      <c r="H47" s="587"/>
      <c r="I47" s="587"/>
      <c r="J47" s="587"/>
      <c r="K47" s="587"/>
      <c r="L47" s="587"/>
      <c r="M47" s="587"/>
      <c r="N47" s="587"/>
      <c r="O47" s="673"/>
    </row>
    <row r="48" spans="1:15" ht="20.100000000000001" customHeight="1" x14ac:dyDescent="0.2">
      <c r="A48" s="139" t="s">
        <v>108</v>
      </c>
      <c r="B48" s="335" t="str">
        <f>(IF(B47="","",(B47)*'Input Sheet'!B16*'Input Sheet'!B5))</f>
        <v/>
      </c>
      <c r="C48" s="84"/>
      <c r="E48" s="673"/>
      <c r="F48" s="673"/>
      <c r="G48" s="673"/>
      <c r="H48" s="673"/>
      <c r="I48" s="673"/>
      <c r="J48" s="673"/>
      <c r="K48" s="673"/>
      <c r="L48" s="673"/>
      <c r="M48" s="673"/>
      <c r="N48" s="673"/>
      <c r="O48" s="673"/>
    </row>
    <row r="49" spans="1:15" ht="20.100000000000001" customHeight="1" x14ac:dyDescent="0.2">
      <c r="A49" s="292"/>
      <c r="B49" s="124"/>
      <c r="C49" s="84"/>
      <c r="E49" s="673"/>
      <c r="F49" s="673"/>
      <c r="G49" s="673"/>
      <c r="H49" s="673"/>
      <c r="I49" s="673"/>
      <c r="J49" s="673"/>
      <c r="K49" s="673"/>
      <c r="L49" s="673"/>
      <c r="M49" s="673"/>
      <c r="N49" s="673"/>
      <c r="O49" s="673"/>
    </row>
    <row r="50" spans="1:15" ht="30" customHeight="1" x14ac:dyDescent="0.2">
      <c r="A50" s="297" t="s">
        <v>111</v>
      </c>
      <c r="B50" s="298" t="str">
        <f>IF(AND((B40=""), (B44=""), (B48="")), "", (B40+B44+B48))</f>
        <v/>
      </c>
      <c r="C50" s="660" t="str">
        <f>IF(B50="","Well done!"&amp;CHAR(10)&amp;"You do not have a gap in this area", "")</f>
        <v>Well done!
You do not have a gap in this area</v>
      </c>
      <c r="E50" s="583"/>
      <c r="F50" s="583"/>
      <c r="G50" s="583"/>
      <c r="H50" s="583"/>
      <c r="I50" s="583"/>
      <c r="J50" s="583"/>
      <c r="K50" s="583"/>
      <c r="L50" s="583"/>
      <c r="M50" s="583"/>
      <c r="N50" s="583"/>
      <c r="O50" s="673"/>
    </row>
    <row r="51" spans="1:15" x14ac:dyDescent="0.2">
      <c r="A51" s="47"/>
      <c r="B51" s="124"/>
      <c r="C51" s="84"/>
      <c r="E51" s="673"/>
      <c r="F51" s="673"/>
      <c r="G51" s="673"/>
      <c r="H51" s="673"/>
      <c r="I51" s="673"/>
      <c r="J51" s="673"/>
      <c r="K51" s="673"/>
      <c r="L51" s="673"/>
      <c r="M51" s="673"/>
      <c r="N51" s="673"/>
      <c r="O51" s="673"/>
    </row>
    <row r="52" spans="1:15" ht="15" x14ac:dyDescent="0.2">
      <c r="A52" s="145"/>
      <c r="B52" s="149"/>
      <c r="C52" s="149"/>
      <c r="D52" s="588"/>
      <c r="E52" s="589"/>
      <c r="F52" s="673"/>
      <c r="G52" s="590"/>
      <c r="H52" s="590"/>
      <c r="I52" s="590"/>
      <c r="J52" s="590"/>
      <c r="K52" s="590"/>
      <c r="L52" s="590"/>
      <c r="M52" s="590"/>
      <c r="N52" s="590"/>
      <c r="O52" s="673"/>
    </row>
    <row r="53" spans="1:15" x14ac:dyDescent="0.2">
      <c r="A53" s="47"/>
      <c r="B53" s="124"/>
      <c r="C53" s="84"/>
      <c r="E53" s="673"/>
      <c r="F53" s="673"/>
      <c r="G53" s="673"/>
      <c r="H53" s="673"/>
      <c r="I53" s="673"/>
      <c r="J53" s="673"/>
      <c r="K53" s="673"/>
      <c r="L53" s="673"/>
      <c r="M53" s="673"/>
      <c r="N53" s="673"/>
      <c r="O53" s="584"/>
    </row>
    <row r="54" spans="1:15" ht="14.25" customHeight="1" x14ac:dyDescent="0.2">
      <c r="A54" s="294"/>
      <c r="B54" s="295"/>
      <c r="C54" s="296"/>
      <c r="E54" s="673"/>
      <c r="F54" s="673"/>
      <c r="G54" s="673"/>
      <c r="H54" s="673"/>
      <c r="I54" s="673"/>
      <c r="J54" s="673"/>
      <c r="K54" s="673"/>
      <c r="L54" s="673"/>
      <c r="M54" s="673"/>
      <c r="N54" s="673"/>
      <c r="O54" s="673"/>
    </row>
    <row r="55" spans="1:15" ht="14.25" customHeight="1" x14ac:dyDescent="0.2">
      <c r="A55" s="294"/>
      <c r="B55" s="295"/>
      <c r="C55" s="296"/>
      <c r="E55" s="673"/>
      <c r="F55" s="673"/>
      <c r="G55" s="673"/>
      <c r="H55" s="673"/>
      <c r="I55" s="673"/>
      <c r="J55" s="673"/>
      <c r="K55" s="673"/>
      <c r="L55" s="673"/>
      <c r="M55" s="673"/>
      <c r="N55" s="673"/>
      <c r="O55" s="673"/>
    </row>
    <row r="56" spans="1:15" ht="14.25" customHeight="1" x14ac:dyDescent="0.2">
      <c r="A56" s="294"/>
      <c r="B56" s="295"/>
      <c r="C56" s="296"/>
      <c r="E56" s="673"/>
      <c r="F56" s="673"/>
      <c r="G56" s="673"/>
      <c r="H56" s="673"/>
      <c r="I56" s="673"/>
      <c r="J56" s="673"/>
      <c r="K56" s="673"/>
      <c r="L56" s="673"/>
      <c r="M56" s="673"/>
      <c r="N56" s="673"/>
      <c r="O56" s="673"/>
    </row>
    <row r="57" spans="1:15" ht="14.25" customHeight="1" x14ac:dyDescent="0.2">
      <c r="A57" s="294"/>
      <c r="B57" s="295"/>
      <c r="C57" s="296"/>
      <c r="E57" s="673"/>
      <c r="F57" s="673"/>
      <c r="G57" s="673"/>
      <c r="H57" s="673"/>
      <c r="I57" s="673"/>
      <c r="J57" s="673"/>
      <c r="K57" s="673"/>
      <c r="L57" s="673"/>
      <c r="M57" s="673"/>
      <c r="N57" s="673"/>
      <c r="O57" s="673"/>
    </row>
  </sheetData>
  <sheetProtection sheet="1" objects="1" scenarios="1" selectLockedCells="1"/>
  <mergeCells count="8">
    <mergeCell ref="AG25:AK25"/>
    <mergeCell ref="Q3:R3"/>
    <mergeCell ref="G37:H37"/>
    <mergeCell ref="Q25:S25"/>
    <mergeCell ref="Q4:Q23"/>
    <mergeCell ref="Q24:R24"/>
    <mergeCell ref="U25:Y25"/>
    <mergeCell ref="AA25:AE25"/>
  </mergeCells>
  <conditionalFormatting sqref="S4:AM24">
    <cfRule type="colorScale" priority="1">
      <colorScale>
        <cfvo type="min"/>
        <cfvo type="percentile" val="50"/>
        <cfvo type="max"/>
        <color rgb="FFF8696B"/>
        <color rgb="FFFFEB84"/>
        <color rgb="FF63BE7B"/>
      </colorScale>
    </cfRule>
  </conditionalFormatting>
  <printOptions horizontalCentered="1"/>
  <pageMargins left="0.5" right="0.5" top="0.5" bottom="0.5" header="0.5" footer="0.5"/>
  <pageSetup paperSize="9" scale="63"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A640"/>
    <pageSetUpPr fitToPage="1"/>
  </sheetPr>
  <dimension ref="A1:N62"/>
  <sheetViews>
    <sheetView topLeftCell="A16" zoomScaleNormal="100" workbookViewId="0">
      <selection activeCell="B29" sqref="B29"/>
    </sheetView>
  </sheetViews>
  <sheetFormatPr defaultColWidth="0" defaultRowHeight="20.100000000000001" customHeight="1" zeroHeight="1" x14ac:dyDescent="0.2"/>
  <cols>
    <col min="1" max="1" width="53.625" style="42" customWidth="1"/>
    <col min="2" max="5" width="17.5" style="11" customWidth="1"/>
    <col min="6" max="6" width="8.375" style="90" hidden="1" customWidth="1"/>
    <col min="7" max="7" width="9.875" style="90" hidden="1" customWidth="1"/>
    <col min="8" max="8" width="3" style="90" hidden="1" customWidth="1"/>
    <col min="9" max="9" width="8.25" style="90" hidden="1" customWidth="1"/>
    <col min="10" max="10" width="5.875" style="90" hidden="1" customWidth="1"/>
    <col min="11" max="11" width="3.625" style="90" hidden="1" customWidth="1"/>
    <col min="12" max="12" width="18.5" style="90" hidden="1" customWidth="1"/>
    <col min="13" max="16384" width="9" hidden="1"/>
  </cols>
  <sheetData>
    <row r="1" spans="1:14" ht="60" customHeight="1" x14ac:dyDescent="0.2">
      <c r="A1" s="39" t="s">
        <v>176</v>
      </c>
      <c r="B1" s="148"/>
      <c r="C1" s="148"/>
      <c r="D1" s="148"/>
      <c r="E1" s="148"/>
      <c r="F1" s="462"/>
      <c r="G1" s="462"/>
      <c r="H1" s="462"/>
      <c r="I1" s="462"/>
      <c r="J1" s="462"/>
      <c r="K1" s="462"/>
      <c r="L1" s="462"/>
    </row>
    <row r="2" spans="1:14" ht="20.100000000000001" customHeight="1" x14ac:dyDescent="0.2">
      <c r="A2" s="145"/>
      <c r="B2" s="149"/>
      <c r="C2" s="149"/>
      <c r="D2" s="149"/>
      <c r="E2" s="149"/>
      <c r="F2" s="131"/>
      <c r="G2" s="131"/>
      <c r="H2" s="462"/>
      <c r="I2" s="462"/>
      <c r="J2" s="462"/>
      <c r="K2" s="462"/>
      <c r="L2" s="462"/>
    </row>
    <row r="3" spans="1:14" ht="30" customHeight="1" x14ac:dyDescent="0.2">
      <c r="A3" s="255" t="s">
        <v>177</v>
      </c>
      <c r="B3" s="368" t="s">
        <v>178</v>
      </c>
      <c r="C3" s="385" t="s">
        <v>179</v>
      </c>
      <c r="D3" s="368" t="s">
        <v>180</v>
      </c>
      <c r="E3" s="386" t="s">
        <v>181</v>
      </c>
      <c r="F3" s="131"/>
      <c r="G3" s="131"/>
      <c r="H3" s="462"/>
      <c r="I3" s="462"/>
      <c r="J3" s="462"/>
      <c r="K3" s="462"/>
      <c r="L3" s="462"/>
    </row>
    <row r="4" spans="1:14" ht="20.100000000000001" customHeight="1" x14ac:dyDescent="0.2">
      <c r="A4" s="137" t="s">
        <v>36</v>
      </c>
      <c r="B4" s="378" t="str">
        <f>IF('Input Sheet'!F11="","0",'Input Sheet'!F11)</f>
        <v>0</v>
      </c>
      <c r="C4" s="379" t="str">
        <f>IF('Input Sheet'!$B$6="","",B4/'Input Sheet'!$B$6)</f>
        <v/>
      </c>
      <c r="D4" s="380">
        <v>0.05</v>
      </c>
      <c r="E4" s="381" t="str">
        <f t="shared" ref="E4:E9" si="0">IF(C4="","",C4-D4)</f>
        <v/>
      </c>
      <c r="F4" s="131"/>
      <c r="G4" s="131"/>
      <c r="H4" s="462"/>
      <c r="I4" s="462"/>
      <c r="J4" s="462"/>
      <c r="K4" s="462"/>
      <c r="L4" s="462"/>
    </row>
    <row r="5" spans="1:14" ht="20.100000000000001" customHeight="1" x14ac:dyDescent="0.2">
      <c r="A5" s="138" t="s">
        <v>38</v>
      </c>
      <c r="B5" s="319" t="str">
        <f>IF('Input Sheet'!F12="","0",'Input Sheet'!F12)</f>
        <v>0</v>
      </c>
      <c r="C5" s="320" t="str">
        <f>IF('Input Sheet'!$B$6="","",B5/'Input Sheet'!$B$6)</f>
        <v/>
      </c>
      <c r="D5" s="321">
        <v>0.01</v>
      </c>
      <c r="E5" s="322" t="str">
        <f t="shared" si="0"/>
        <v/>
      </c>
      <c r="F5" s="131"/>
      <c r="G5" s="462"/>
      <c r="H5" s="462"/>
      <c r="I5" s="462"/>
      <c r="J5" s="462"/>
      <c r="K5" s="462"/>
      <c r="L5" s="462"/>
    </row>
    <row r="6" spans="1:14" ht="20.100000000000001" customHeight="1" x14ac:dyDescent="0.2">
      <c r="A6" s="309" t="s">
        <v>40</v>
      </c>
      <c r="B6" s="319" t="str">
        <f>IF('Input Sheet'!F13="","0",'Input Sheet'!F13)</f>
        <v>0</v>
      </c>
      <c r="C6" s="320" t="str">
        <f>IF('Input Sheet'!$B$6="","",B6/'Input Sheet'!$B$6)</f>
        <v/>
      </c>
      <c r="D6" s="321">
        <v>0.02</v>
      </c>
      <c r="E6" s="322" t="str">
        <f t="shared" si="0"/>
        <v/>
      </c>
      <c r="F6" s="131"/>
      <c r="G6" s="462"/>
      <c r="H6" s="462"/>
      <c r="I6" s="462"/>
      <c r="J6" s="462"/>
      <c r="K6" s="462"/>
      <c r="L6" s="462"/>
    </row>
    <row r="7" spans="1:14" ht="20.100000000000001" customHeight="1" x14ac:dyDescent="0.2">
      <c r="A7" s="138" t="str">
        <f>('Input Sheet'!E16)</f>
        <v>Endometritis (Metri-Check Positive)</v>
      </c>
      <c r="B7" s="319" t="str">
        <f>IF('Input Sheet'!F16="","0",'Input Sheet'!F16)</f>
        <v>0</v>
      </c>
      <c r="C7" s="320" t="str">
        <f>IF('Input Sheet'!$B$6="","",B7/'Input Sheet'!$B$6)</f>
        <v/>
      </c>
      <c r="D7" s="321">
        <f>IF(A7="Vaginal Discharge",1%,IF(A7="Endometritis (Metri-Check Positive)",7%,0))</f>
        <v>7.0000000000000007E-2</v>
      </c>
      <c r="E7" s="322" t="str">
        <f t="shared" si="0"/>
        <v/>
      </c>
      <c r="F7" s="131"/>
      <c r="G7" s="462"/>
      <c r="H7" s="462"/>
      <c r="I7" s="462"/>
      <c r="J7" s="462"/>
      <c r="K7" s="462"/>
      <c r="L7" s="462"/>
    </row>
    <row r="8" spans="1:14" ht="20.100000000000001" customHeight="1" x14ac:dyDescent="0.2">
      <c r="A8" s="138" t="s">
        <v>43</v>
      </c>
      <c r="B8" s="319" t="str">
        <f>IF('Input Sheet'!F14="","0",'Input Sheet'!F14)</f>
        <v>0</v>
      </c>
      <c r="C8" s="320" t="str">
        <f>IF('Input Sheet'!$B$6="","",B8/'Input Sheet'!$B$6)</f>
        <v/>
      </c>
      <c r="D8" s="323">
        <v>0.05</v>
      </c>
      <c r="E8" s="322" t="str">
        <f t="shared" si="0"/>
        <v/>
      </c>
      <c r="F8" s="131"/>
      <c r="G8" s="462"/>
      <c r="H8" s="462"/>
      <c r="I8" s="462"/>
      <c r="J8" s="462"/>
      <c r="K8" s="462"/>
      <c r="L8" s="462"/>
    </row>
    <row r="9" spans="1:14" ht="20.100000000000001" customHeight="1" x14ac:dyDescent="0.2">
      <c r="A9" s="139" t="s">
        <v>46</v>
      </c>
      <c r="B9" s="324" t="str">
        <f>IF('Input Sheet'!F15="","0",'Input Sheet'!F15)</f>
        <v>0</v>
      </c>
      <c r="C9" s="325" t="str">
        <f>IF('Input Sheet'!$B$6="","",B9/'Input Sheet'!$B$6)</f>
        <v/>
      </c>
      <c r="D9" s="326">
        <v>0.05</v>
      </c>
      <c r="E9" s="327" t="str">
        <f t="shared" si="0"/>
        <v/>
      </c>
      <c r="F9" s="131"/>
      <c r="G9" s="131"/>
      <c r="H9" s="462"/>
      <c r="I9" s="462"/>
      <c r="J9" s="462"/>
      <c r="K9" s="462"/>
      <c r="L9" s="462"/>
    </row>
    <row r="10" spans="1:14" ht="20.100000000000001" customHeight="1" x14ac:dyDescent="0.2">
      <c r="A10" s="47"/>
      <c r="B10" s="124"/>
      <c r="C10" s="303"/>
      <c r="D10" s="313"/>
      <c r="E10" s="303"/>
      <c r="F10" s="131"/>
      <c r="G10" s="131"/>
      <c r="H10" s="462"/>
      <c r="I10" s="462"/>
      <c r="J10" s="462"/>
      <c r="K10" s="462"/>
      <c r="L10" s="462"/>
    </row>
    <row r="11" spans="1:14" ht="35.1" customHeight="1" x14ac:dyDescent="0.25">
      <c r="A11" s="278" t="s">
        <v>182</v>
      </c>
      <c r="B11" s="273"/>
      <c r="C11" s="273"/>
      <c r="D11" s="273"/>
      <c r="E11" s="273"/>
      <c r="F11" s="274"/>
      <c r="G11" s="274"/>
      <c r="H11" s="274"/>
      <c r="I11" s="274"/>
      <c r="J11" s="274"/>
      <c r="K11" s="274"/>
      <c r="L11" s="274"/>
      <c r="M11" s="1"/>
      <c r="N11" s="1"/>
    </row>
    <row r="12" spans="1:14" ht="20.100000000000001" customHeight="1" x14ac:dyDescent="0.2">
      <c r="A12" s="47"/>
      <c r="B12" s="149"/>
      <c r="C12" s="149"/>
      <c r="D12" s="149"/>
      <c r="E12" s="149"/>
      <c r="F12" s="462"/>
      <c r="G12" s="462"/>
      <c r="H12" s="462"/>
      <c r="I12" s="462"/>
      <c r="J12" s="462"/>
      <c r="K12" s="462"/>
      <c r="L12" s="462"/>
    </row>
    <row r="13" spans="1:14" ht="35.1" customHeight="1" x14ac:dyDescent="0.2">
      <c r="A13" s="384" t="s">
        <v>183</v>
      </c>
      <c r="B13" s="368" t="s">
        <v>184</v>
      </c>
      <c r="C13" s="368" t="s">
        <v>185</v>
      </c>
      <c r="D13" s="369" t="s">
        <v>186</v>
      </c>
      <c r="E13" s="149"/>
      <c r="F13" s="462"/>
      <c r="G13" s="462"/>
      <c r="H13" s="462"/>
      <c r="I13" s="462"/>
      <c r="J13" s="462"/>
      <c r="K13" s="462"/>
      <c r="L13" s="462"/>
    </row>
    <row r="14" spans="1:14" ht="20.100000000000001" customHeight="1" x14ac:dyDescent="0.2">
      <c r="A14" s="374" t="s">
        <v>36</v>
      </c>
      <c r="B14" s="375" t="str">
        <f t="shared" ref="B14:B19" si="1">IF(E4&gt;0,E4,"")</f>
        <v/>
      </c>
      <c r="C14" s="376" t="str">
        <f>IF(B14="","",B14*0.15)</f>
        <v/>
      </c>
      <c r="D14" s="377" t="str">
        <f>IF(B14="","",B14*0.08)</f>
        <v/>
      </c>
      <c r="E14" s="199"/>
      <c r="F14" s="462"/>
      <c r="G14" s="462"/>
      <c r="H14" s="462"/>
      <c r="I14" s="462"/>
      <c r="J14" s="462"/>
      <c r="K14" s="462"/>
      <c r="L14" s="462"/>
    </row>
    <row r="15" spans="1:14" ht="20.100000000000001" customHeight="1" x14ac:dyDescent="0.2">
      <c r="A15" s="209" t="s">
        <v>38</v>
      </c>
      <c r="B15" s="328" t="str">
        <f t="shared" si="1"/>
        <v/>
      </c>
      <c r="C15" s="329" t="str">
        <f>IF(B15="","",B15*0.12)</f>
        <v/>
      </c>
      <c r="D15" s="330" t="str">
        <f>IF(B15="","",B15*0.05)</f>
        <v/>
      </c>
      <c r="E15" s="199"/>
      <c r="F15" s="462"/>
      <c r="G15" s="462"/>
      <c r="H15" s="462"/>
      <c r="I15" s="462"/>
      <c r="J15" s="462"/>
      <c r="K15" s="462"/>
      <c r="L15" s="462"/>
    </row>
    <row r="16" spans="1:14" ht="20.100000000000001" customHeight="1" x14ac:dyDescent="0.2">
      <c r="A16" s="311" t="s">
        <v>40</v>
      </c>
      <c r="B16" s="328" t="str">
        <f t="shared" si="1"/>
        <v/>
      </c>
      <c r="C16" s="329" t="str">
        <f>IF(B16="","",B16*0.2)</f>
        <v/>
      </c>
      <c r="D16" s="330" t="str">
        <f>IF(B16="","",B16*0.16)</f>
        <v/>
      </c>
      <c r="E16" s="199"/>
      <c r="F16" s="462"/>
      <c r="G16" s="462"/>
      <c r="H16" s="462"/>
      <c r="I16" s="462"/>
      <c r="J16" s="462"/>
      <c r="K16" s="462"/>
      <c r="L16" s="462"/>
    </row>
    <row r="17" spans="1:14" ht="20.100000000000001" customHeight="1" x14ac:dyDescent="0.2">
      <c r="A17" s="209" t="str">
        <f>(A7)</f>
        <v>Endometritis (Metri-Check Positive)</v>
      </c>
      <c r="B17" s="328" t="str">
        <f t="shared" si="1"/>
        <v/>
      </c>
      <c r="C17" s="329" t="str">
        <f>IF(B17="","",IF(A17="Vaginal Discharge",B17*0.18,IF(A17="Endometritis (Metri-Check Positive)",B17*0.09,0)))</f>
        <v/>
      </c>
      <c r="D17" s="330" t="str">
        <f>IF(B17="","",B17*0.05)</f>
        <v/>
      </c>
      <c r="E17" s="199"/>
      <c r="F17" s="300"/>
      <c r="G17" s="462"/>
      <c r="H17" s="462"/>
      <c r="I17" s="462"/>
      <c r="J17" s="462"/>
      <c r="K17" s="462"/>
      <c r="L17" s="462"/>
    </row>
    <row r="18" spans="1:14" ht="20.100000000000001" customHeight="1" x14ac:dyDescent="0.2">
      <c r="A18" s="209" t="s">
        <v>43</v>
      </c>
      <c r="B18" s="328" t="str">
        <f t="shared" si="1"/>
        <v/>
      </c>
      <c r="C18" s="329" t="str">
        <f>IF(B18="","",B18*0.06)</f>
        <v/>
      </c>
      <c r="D18" s="330" t="str">
        <f>IF(B18="","",B18*0.03)</f>
        <v/>
      </c>
      <c r="E18" s="199"/>
      <c r="F18" s="462"/>
      <c r="G18" s="462"/>
      <c r="H18" s="462"/>
      <c r="I18" s="462"/>
      <c r="J18" s="462"/>
      <c r="K18" s="462"/>
      <c r="L18" s="462"/>
    </row>
    <row r="19" spans="1:14" ht="20.100000000000001" customHeight="1" x14ac:dyDescent="0.2">
      <c r="A19" s="209" t="s">
        <v>46</v>
      </c>
      <c r="B19" s="328" t="str">
        <f t="shared" si="1"/>
        <v/>
      </c>
      <c r="C19" s="329" t="str">
        <f>IF(B19="","",B19*0.05)</f>
        <v/>
      </c>
      <c r="D19" s="330"/>
      <c r="E19" s="205"/>
      <c r="F19" s="462"/>
      <c r="G19" s="462"/>
      <c r="H19" s="462"/>
      <c r="I19" s="462"/>
      <c r="J19" s="462"/>
      <c r="K19" s="462"/>
      <c r="L19" s="462"/>
    </row>
    <row r="20" spans="1:14" ht="35.1" customHeight="1" x14ac:dyDescent="0.2">
      <c r="A20" s="312" t="s">
        <v>187</v>
      </c>
      <c r="B20" s="331"/>
      <c r="C20" s="332" t="str">
        <f>IF(AND((C14=""),(C15=""),(C16=""),(C17=""),(C18=""),(C19="")),"",SUM(C14:C19))</f>
        <v/>
      </c>
      <c r="D20" s="333" t="str">
        <f>IF(AND((D14=""),(D15=""),(D16=""),(D17=""),(D18=""),(D19="")),"",SUM(D14:D19))</f>
        <v/>
      </c>
      <c r="E20" s="205"/>
      <c r="F20" s="462"/>
      <c r="G20" s="462"/>
      <c r="H20" s="462"/>
      <c r="I20" s="462"/>
      <c r="J20" s="462"/>
      <c r="K20" s="462"/>
      <c r="L20" s="462"/>
    </row>
    <row r="21" spans="1:14" ht="20.100000000000001" customHeight="1" x14ac:dyDescent="0.2">
      <c r="A21" s="145"/>
      <c r="B21" s="149"/>
      <c r="C21" s="149"/>
      <c r="D21" s="149"/>
      <c r="E21" s="149"/>
      <c r="F21" s="462"/>
      <c r="G21" s="462"/>
      <c r="H21" s="462"/>
      <c r="I21" s="462"/>
      <c r="J21" s="462"/>
      <c r="K21" s="462"/>
      <c r="L21" s="462"/>
    </row>
    <row r="22" spans="1:14" ht="35.1" customHeight="1" x14ac:dyDescent="0.25">
      <c r="A22" s="278" t="s">
        <v>188</v>
      </c>
      <c r="B22" s="273"/>
      <c r="C22" s="273"/>
      <c r="D22" s="273"/>
      <c r="E22" s="273"/>
      <c r="F22" s="274"/>
      <c r="G22" s="274"/>
      <c r="H22" s="274"/>
      <c r="I22" s="274"/>
      <c r="J22" s="274"/>
      <c r="K22" s="274"/>
      <c r="L22" s="274"/>
      <c r="M22" s="1"/>
      <c r="N22" s="1"/>
    </row>
    <row r="23" spans="1:14" ht="20.100000000000001" customHeight="1" x14ac:dyDescent="0.25">
      <c r="A23" s="310"/>
      <c r="B23" s="314"/>
      <c r="C23" s="314"/>
      <c r="D23" s="314"/>
      <c r="E23" s="314"/>
      <c r="F23" s="274"/>
      <c r="G23" s="274"/>
      <c r="H23" s="274"/>
      <c r="I23" s="274"/>
      <c r="J23" s="274"/>
      <c r="K23" s="274"/>
      <c r="L23" s="274"/>
      <c r="M23" s="1"/>
      <c r="N23" s="1"/>
    </row>
    <row r="24" spans="1:14" ht="30" customHeight="1" x14ac:dyDescent="0.25">
      <c r="A24" s="255" t="s">
        <v>129</v>
      </c>
      <c r="B24" s="383"/>
      <c r="C24" s="144"/>
      <c r="D24" s="144"/>
      <c r="E24" s="144"/>
      <c r="F24" s="276"/>
      <c r="G24" s="276"/>
      <c r="H24" s="276"/>
      <c r="I24" s="276"/>
      <c r="J24" s="276"/>
      <c r="K24" s="276"/>
      <c r="L24" s="276"/>
      <c r="M24" s="1"/>
      <c r="N24" s="1"/>
    </row>
    <row r="25" spans="1:14" ht="20.100000000000001" customHeight="1" x14ac:dyDescent="0.25">
      <c r="A25" s="137" t="s">
        <v>107</v>
      </c>
      <c r="B25" s="218" t="str">
        <f>IF(C20="","",C20)</f>
        <v/>
      </c>
      <c r="C25" s="124"/>
      <c r="D25" s="124"/>
      <c r="E25" s="124"/>
      <c r="F25" s="462"/>
      <c r="G25" s="462"/>
      <c r="H25" s="462"/>
      <c r="I25" s="462"/>
      <c r="J25" s="462"/>
      <c r="K25" s="462"/>
      <c r="L25" s="462"/>
      <c r="M25" s="1"/>
      <c r="N25" s="1"/>
    </row>
    <row r="26" spans="1:14" ht="20.100000000000001" customHeight="1" x14ac:dyDescent="0.25">
      <c r="A26" s="139" t="s">
        <v>108</v>
      </c>
      <c r="B26" s="219" t="str">
        <f>IF(B25="","",(B25*'Input Sheet'!I6*'Input Sheet'!B6)*100)</f>
        <v/>
      </c>
      <c r="C26" s="306"/>
      <c r="D26" s="306"/>
      <c r="E26" s="124"/>
      <c r="F26" s="462"/>
      <c r="G26" s="462"/>
      <c r="H26" s="462"/>
      <c r="I26" s="462"/>
      <c r="J26" s="462"/>
      <c r="K26" s="131"/>
      <c r="L26" s="301"/>
      <c r="M26" s="1"/>
      <c r="N26" s="1"/>
    </row>
    <row r="27" spans="1:14" ht="20.100000000000001" customHeight="1" x14ac:dyDescent="0.25">
      <c r="A27" s="291"/>
      <c r="B27" s="308"/>
      <c r="C27" s="315"/>
      <c r="D27" s="315"/>
      <c r="E27" s="315"/>
      <c r="F27" s="179"/>
      <c r="G27" s="179"/>
      <c r="H27" s="179"/>
      <c r="I27" s="179"/>
      <c r="J27" s="179"/>
      <c r="K27" s="179"/>
      <c r="L27" s="179"/>
      <c r="M27" s="1"/>
      <c r="N27" s="1"/>
    </row>
    <row r="28" spans="1:14" ht="30" customHeight="1" x14ac:dyDescent="0.25">
      <c r="A28" s="255" t="s">
        <v>109</v>
      </c>
      <c r="B28" s="382"/>
      <c r="C28" s="124"/>
      <c r="D28" s="124"/>
      <c r="E28" s="124"/>
      <c r="F28" s="462"/>
      <c r="G28" s="462"/>
      <c r="H28" s="462"/>
      <c r="I28" s="462"/>
      <c r="J28" s="462"/>
      <c r="K28" s="462"/>
      <c r="L28" s="462"/>
      <c r="M28" s="1"/>
      <c r="N28" s="1"/>
    </row>
    <row r="29" spans="1:14" ht="20.100000000000001" customHeight="1" x14ac:dyDescent="0.25">
      <c r="A29" s="137" t="s">
        <v>110</v>
      </c>
      <c r="B29" s="677" t="str">
        <f>IF(D20="","",D20)</f>
        <v/>
      </c>
      <c r="C29" s="144"/>
      <c r="D29" s="144"/>
      <c r="E29" s="144"/>
      <c r="F29" s="276"/>
      <c r="G29" s="276"/>
      <c r="H29" s="276"/>
      <c r="I29" s="276"/>
      <c r="J29" s="276"/>
      <c r="K29" s="276"/>
      <c r="L29" s="276"/>
      <c r="M29" s="1"/>
      <c r="N29" s="1"/>
    </row>
    <row r="30" spans="1:14" ht="20.100000000000001" customHeight="1" x14ac:dyDescent="0.25">
      <c r="A30" s="139" t="s">
        <v>108</v>
      </c>
      <c r="B30" s="219" t="str">
        <f>IF(B29= "", "", ((B29*10*'Input Sheet'!B6)*100))</f>
        <v/>
      </c>
      <c r="C30" s="124"/>
      <c r="D30" s="124"/>
      <c r="E30" s="124"/>
      <c r="F30" s="462"/>
      <c r="G30" s="462"/>
      <c r="H30" s="462"/>
      <c r="I30" s="462"/>
      <c r="J30" s="462"/>
      <c r="K30" s="462"/>
      <c r="L30" s="462"/>
      <c r="M30" s="1"/>
      <c r="N30" s="1"/>
    </row>
    <row r="31" spans="1:14" ht="20.100000000000001" customHeight="1" x14ac:dyDescent="0.25">
      <c r="A31" s="47"/>
      <c r="B31" s="307"/>
      <c r="C31" s="306"/>
      <c r="D31" s="306"/>
      <c r="E31" s="124"/>
      <c r="F31" s="462"/>
      <c r="G31" s="462"/>
      <c r="H31" s="462"/>
      <c r="I31" s="462"/>
      <c r="J31" s="462"/>
      <c r="K31" s="131"/>
      <c r="L31" s="301"/>
      <c r="M31" s="1"/>
      <c r="N31" s="1"/>
    </row>
    <row r="32" spans="1:14" s="318" customFormat="1" ht="39.75" customHeight="1" x14ac:dyDescent="0.25">
      <c r="A32" s="350" t="s">
        <v>111</v>
      </c>
      <c r="B32" s="351" t="str">
        <f>IF(AND((B26=""),(B30="")),"",(B26+B30))</f>
        <v/>
      </c>
      <c r="C32" s="710" t="str">
        <f>IF(B32="","Well done!"&amp;CHAR(10)&amp;"You do not have a gap in this area", "")</f>
        <v>Well done!
You do not have a gap in this area</v>
      </c>
      <c r="D32" s="710"/>
      <c r="E32" s="291"/>
      <c r="F32" s="279"/>
      <c r="G32" s="279"/>
      <c r="H32" s="279"/>
      <c r="I32" s="279"/>
      <c r="J32" s="279"/>
      <c r="K32" s="279"/>
      <c r="L32" s="279"/>
      <c r="M32" s="317"/>
      <c r="N32" s="317"/>
    </row>
    <row r="33" spans="1:14" ht="20.100000000000001" customHeight="1" x14ac:dyDescent="0.25">
      <c r="A33" s="47"/>
      <c r="B33" s="124"/>
      <c r="C33" s="124"/>
      <c r="D33" s="124"/>
      <c r="E33" s="124"/>
      <c r="F33" s="462"/>
      <c r="G33" s="462"/>
      <c r="H33" s="462"/>
      <c r="I33" s="462"/>
      <c r="J33" s="462"/>
      <c r="K33" s="462"/>
      <c r="L33" s="462"/>
      <c r="M33" s="1"/>
      <c r="N33" s="1"/>
    </row>
    <row r="34" spans="1:14" ht="20.100000000000001" customHeight="1" x14ac:dyDescent="0.25">
      <c r="A34" s="146"/>
      <c r="B34" s="144"/>
      <c r="C34" s="144"/>
      <c r="D34" s="144"/>
      <c r="E34" s="144"/>
      <c r="F34" s="276"/>
      <c r="G34" s="276"/>
      <c r="H34" s="276"/>
      <c r="I34" s="276"/>
      <c r="J34" s="276"/>
      <c r="K34" s="276"/>
      <c r="L34" s="276"/>
      <c r="M34" s="1"/>
    </row>
    <row r="35" spans="1:14" ht="20.100000000000001" customHeight="1" x14ac:dyDescent="0.25">
      <c r="A35" s="47"/>
      <c r="B35" s="124"/>
      <c r="C35" s="124"/>
      <c r="D35" s="124"/>
      <c r="E35" s="124"/>
      <c r="F35" s="462"/>
      <c r="G35" s="462"/>
      <c r="H35" s="462"/>
      <c r="I35" s="462"/>
      <c r="J35" s="462"/>
      <c r="K35" s="462"/>
      <c r="L35" s="462"/>
      <c r="M35" s="1"/>
    </row>
    <row r="36" spans="1:14" ht="20.100000000000001" hidden="1" customHeight="1" x14ac:dyDescent="0.25">
      <c r="A36" s="145"/>
      <c r="B36" s="269"/>
      <c r="C36" s="269"/>
      <c r="D36" s="269"/>
      <c r="E36" s="269"/>
      <c r="F36" s="277"/>
      <c r="G36" s="277"/>
      <c r="H36" s="462"/>
      <c r="I36" s="302"/>
      <c r="J36" s="302"/>
      <c r="K36" s="302"/>
      <c r="L36" s="462"/>
      <c r="M36" s="1"/>
      <c r="N36" s="1"/>
    </row>
    <row r="37" spans="1:14" ht="20.100000000000001" hidden="1" customHeight="1" x14ac:dyDescent="0.25">
      <c r="A37" s="145"/>
      <c r="B37" s="149"/>
      <c r="C37" s="149"/>
      <c r="D37" s="149"/>
      <c r="E37" s="149"/>
      <c r="F37" s="131"/>
      <c r="G37" s="131"/>
      <c r="H37" s="131"/>
      <c r="I37" s="131"/>
      <c r="J37" s="131"/>
      <c r="K37" s="131"/>
      <c r="L37" s="131"/>
      <c r="M37" s="1"/>
      <c r="N37" s="1"/>
    </row>
    <row r="38" spans="1:14" ht="20.100000000000001" hidden="1" customHeight="1" x14ac:dyDescent="0.25">
      <c r="A38" s="145"/>
      <c r="B38" s="149"/>
      <c r="C38" s="149"/>
      <c r="D38" s="149"/>
      <c r="E38" s="149"/>
      <c r="F38" s="131"/>
      <c r="G38" s="131"/>
      <c r="H38" s="131"/>
      <c r="I38" s="131"/>
      <c r="J38" s="131"/>
      <c r="K38" s="131"/>
      <c r="L38" s="131"/>
      <c r="M38" s="1"/>
      <c r="N38" s="1"/>
    </row>
    <row r="39" spans="1:14" ht="20.100000000000001" hidden="1" customHeight="1" x14ac:dyDescent="0.25">
      <c r="A39" s="145"/>
      <c r="B39" s="149"/>
      <c r="C39" s="149"/>
      <c r="D39" s="149"/>
      <c r="E39" s="149"/>
      <c r="F39" s="131"/>
      <c r="G39" s="131"/>
      <c r="H39" s="131"/>
      <c r="I39" s="131"/>
      <c r="J39" s="131"/>
      <c r="K39" s="131"/>
      <c r="L39" s="131"/>
      <c r="M39" s="1"/>
      <c r="N39" s="1"/>
    </row>
    <row r="40" spans="1:14" ht="20.100000000000001" hidden="1" customHeight="1" x14ac:dyDescent="0.25">
      <c r="A40" s="47"/>
      <c r="B40" s="124"/>
      <c r="C40" s="124"/>
      <c r="D40" s="124"/>
      <c r="E40" s="124"/>
      <c r="F40" s="462"/>
      <c r="G40" s="462"/>
      <c r="H40" s="462"/>
      <c r="I40" s="462"/>
      <c r="J40" s="462"/>
      <c r="K40" s="462"/>
      <c r="L40" s="462"/>
      <c r="M40" s="1"/>
      <c r="N40" s="1"/>
    </row>
    <row r="41" spans="1:14" ht="20.100000000000001" hidden="1" customHeight="1" x14ac:dyDescent="0.25">
      <c r="A41" s="47"/>
      <c r="B41" s="124"/>
      <c r="C41" s="124"/>
      <c r="D41" s="124"/>
      <c r="E41" s="124"/>
      <c r="F41" s="462"/>
      <c r="G41" s="462"/>
      <c r="H41" s="462"/>
      <c r="I41" s="462"/>
      <c r="J41" s="462"/>
      <c r="K41" s="462"/>
      <c r="L41" s="462"/>
      <c r="M41" s="1"/>
      <c r="N41" s="1"/>
    </row>
    <row r="42" spans="1:14" ht="20.100000000000001" hidden="1" customHeight="1" x14ac:dyDescent="0.25">
      <c r="A42" s="47"/>
      <c r="B42" s="124"/>
      <c r="C42" s="124"/>
      <c r="D42" s="124"/>
      <c r="E42" s="124"/>
      <c r="F42" s="462"/>
      <c r="G42" s="462"/>
      <c r="H42" s="462"/>
      <c r="I42" s="462"/>
      <c r="J42" s="462"/>
      <c r="K42" s="462"/>
      <c r="L42" s="462"/>
      <c r="M42" s="1"/>
      <c r="N42" s="1"/>
    </row>
    <row r="43" spans="1:14" ht="20.100000000000001" hidden="1" customHeight="1" x14ac:dyDescent="0.25">
      <c r="A43" s="47"/>
      <c r="B43" s="124"/>
      <c r="C43" s="124"/>
      <c r="D43" s="124"/>
      <c r="E43" s="124"/>
      <c r="F43" s="462"/>
      <c r="G43" s="462"/>
      <c r="H43" s="462"/>
      <c r="I43" s="462"/>
      <c r="J43" s="462"/>
      <c r="K43" s="462"/>
      <c r="L43" s="462"/>
      <c r="M43" s="1"/>
      <c r="N43" s="1"/>
    </row>
    <row r="44" spans="1:14" ht="20.100000000000001" customHeight="1" x14ac:dyDescent="0.25">
      <c r="A44" s="47"/>
      <c r="B44" s="124"/>
      <c r="C44" s="124"/>
      <c r="D44" s="124"/>
      <c r="E44" s="124"/>
      <c r="F44" s="462"/>
      <c r="G44" s="462"/>
      <c r="H44" s="462"/>
      <c r="I44" s="462"/>
      <c r="J44" s="462"/>
      <c r="K44" s="462"/>
      <c r="L44" s="462"/>
      <c r="M44" s="1"/>
      <c r="N44" s="1"/>
    </row>
    <row r="45" spans="1:14" ht="20.100000000000001" customHeight="1" x14ac:dyDescent="0.25">
      <c r="A45" s="47"/>
      <c r="B45" s="124"/>
      <c r="C45" s="124"/>
      <c r="D45" s="124"/>
      <c r="E45" s="124"/>
      <c r="F45" s="462"/>
      <c r="G45" s="462"/>
      <c r="H45" s="462"/>
      <c r="I45" s="462"/>
      <c r="J45" s="462"/>
      <c r="K45" s="462"/>
      <c r="L45" s="462"/>
      <c r="M45" s="1"/>
      <c r="N45" s="1"/>
    </row>
    <row r="46" spans="1:14" ht="20.100000000000001" customHeight="1" x14ac:dyDescent="0.25">
      <c r="A46" s="47"/>
      <c r="B46" s="124"/>
      <c r="C46" s="124"/>
      <c r="D46" s="124"/>
      <c r="E46" s="124"/>
      <c r="F46" s="462"/>
      <c r="G46" s="462"/>
      <c r="H46" s="462"/>
      <c r="I46" s="462"/>
      <c r="J46" s="462"/>
      <c r="K46" s="462"/>
      <c r="L46" s="462"/>
      <c r="M46" s="1"/>
      <c r="N46" s="1"/>
    </row>
    <row r="47" spans="1:14" ht="20.100000000000001" customHeight="1" x14ac:dyDescent="0.25">
      <c r="A47" s="47"/>
      <c r="B47" s="124"/>
      <c r="C47" s="124"/>
      <c r="D47" s="124"/>
      <c r="E47" s="124"/>
      <c r="F47" s="462"/>
      <c r="G47" s="462"/>
      <c r="H47" s="462"/>
      <c r="I47" s="462"/>
      <c r="J47" s="462"/>
      <c r="K47" s="462"/>
      <c r="L47" s="462"/>
      <c r="M47" s="1"/>
      <c r="N47" s="1"/>
    </row>
    <row r="48" spans="1:14" ht="14.25" customHeight="1" x14ac:dyDescent="0.25">
      <c r="A48" s="349"/>
      <c r="B48" s="125"/>
      <c r="C48" s="125"/>
      <c r="D48" s="125"/>
      <c r="E48" s="125"/>
      <c r="F48" s="462"/>
      <c r="G48" s="462"/>
      <c r="H48" s="462"/>
      <c r="I48" s="462"/>
      <c r="J48" s="462"/>
      <c r="K48" s="462"/>
      <c r="L48" s="462"/>
      <c r="M48" s="1"/>
      <c r="N48" s="1"/>
    </row>
    <row r="49" spans="1:14" ht="14.25" customHeight="1" x14ac:dyDescent="0.25">
      <c r="A49" s="349"/>
      <c r="B49" s="125"/>
      <c r="C49" s="125"/>
      <c r="D49" s="125"/>
      <c r="E49" s="125"/>
      <c r="F49" s="462"/>
      <c r="G49" s="462"/>
      <c r="H49" s="462"/>
      <c r="I49" s="462"/>
      <c r="J49" s="462"/>
      <c r="K49" s="462"/>
      <c r="L49" s="462"/>
      <c r="M49" s="1"/>
      <c r="N49" s="1"/>
    </row>
    <row r="50" spans="1:14" ht="14.25" customHeight="1" x14ac:dyDescent="0.25">
      <c r="A50" s="349"/>
      <c r="B50" s="125"/>
      <c r="C50" s="125"/>
      <c r="D50" s="125"/>
      <c r="E50" s="125"/>
      <c r="F50" s="462"/>
      <c r="G50" s="462"/>
      <c r="H50" s="462"/>
      <c r="I50" s="462"/>
      <c r="J50" s="462"/>
      <c r="K50" s="462"/>
      <c r="L50" s="462"/>
      <c r="M50" s="1"/>
      <c r="N50" s="1"/>
    </row>
    <row r="51" spans="1:14" ht="14.25" customHeight="1" x14ac:dyDescent="0.25">
      <c r="A51" s="349"/>
      <c r="B51" s="125"/>
      <c r="C51" s="125"/>
      <c r="D51" s="125"/>
      <c r="E51" s="125"/>
      <c r="F51" s="462"/>
      <c r="G51" s="462"/>
      <c r="H51" s="462"/>
      <c r="I51" s="462"/>
      <c r="J51" s="462"/>
      <c r="K51" s="462"/>
      <c r="L51" s="462"/>
      <c r="M51" s="1"/>
      <c r="N51" s="1"/>
    </row>
    <row r="52" spans="1:14" ht="20.100000000000001" hidden="1" customHeight="1" x14ac:dyDescent="0.25">
      <c r="B52" s="674"/>
      <c r="C52" s="674"/>
      <c r="D52" s="674"/>
      <c r="E52" s="674"/>
      <c r="F52" s="462"/>
      <c r="G52" s="462"/>
      <c r="H52" s="462"/>
      <c r="I52" s="462"/>
      <c r="J52" s="462"/>
      <c r="K52" s="462"/>
      <c r="L52" s="462"/>
      <c r="M52" s="1"/>
      <c r="N52" s="1"/>
    </row>
    <row r="53" spans="1:14" ht="20.100000000000001" hidden="1" customHeight="1" x14ac:dyDescent="0.25">
      <c r="B53" s="674"/>
      <c r="C53" s="674"/>
      <c r="D53" s="674"/>
      <c r="E53" s="674"/>
      <c r="F53" s="462"/>
      <c r="G53" s="462"/>
      <c r="H53" s="462"/>
      <c r="I53" s="462"/>
      <c r="J53" s="462"/>
      <c r="K53" s="462"/>
      <c r="L53" s="462"/>
      <c r="M53" s="1"/>
      <c r="N53" s="1"/>
    </row>
    <row r="54" spans="1:14" ht="20.100000000000001" hidden="1" customHeight="1" x14ac:dyDescent="0.25">
      <c r="B54" s="674"/>
      <c r="C54" s="674"/>
      <c r="D54" s="674"/>
      <c r="E54" s="674"/>
      <c r="F54" s="462"/>
      <c r="G54" s="462"/>
      <c r="H54" s="462"/>
      <c r="I54" s="462"/>
      <c r="J54" s="462"/>
      <c r="K54" s="462"/>
      <c r="L54" s="462"/>
      <c r="M54" s="1"/>
      <c r="N54" s="1"/>
    </row>
    <row r="55" spans="1:14" ht="20.100000000000001" hidden="1" customHeight="1" x14ac:dyDescent="0.25">
      <c r="B55" s="674"/>
      <c r="C55" s="674"/>
      <c r="D55" s="674"/>
      <c r="E55" s="674"/>
      <c r="F55" s="462"/>
      <c r="G55" s="462"/>
      <c r="H55" s="462"/>
      <c r="I55" s="462"/>
      <c r="J55" s="462"/>
      <c r="K55" s="462"/>
      <c r="L55" s="462"/>
      <c r="M55" s="1"/>
      <c r="N55" s="1"/>
    </row>
    <row r="56" spans="1:14" ht="20.100000000000001" hidden="1" customHeight="1" x14ac:dyDescent="0.25">
      <c r="B56" s="674"/>
      <c r="C56" s="674"/>
      <c r="D56" s="674"/>
      <c r="E56" s="674"/>
      <c r="F56" s="462"/>
      <c r="G56" s="462"/>
      <c r="H56" s="462"/>
      <c r="I56" s="462"/>
      <c r="J56" s="462"/>
      <c r="K56" s="462"/>
      <c r="L56" s="462"/>
      <c r="M56" s="1"/>
      <c r="N56" s="1"/>
    </row>
    <row r="57" spans="1:14" ht="20.100000000000001" hidden="1" customHeight="1" x14ac:dyDescent="0.25">
      <c r="B57" s="674"/>
      <c r="C57" s="674"/>
      <c r="D57" s="674"/>
      <c r="E57" s="674"/>
      <c r="F57" s="462"/>
      <c r="G57" s="462"/>
      <c r="H57" s="462"/>
      <c r="I57" s="462"/>
      <c r="J57" s="462"/>
      <c r="K57" s="462"/>
      <c r="L57" s="462"/>
      <c r="M57" s="1"/>
      <c r="N57" s="1"/>
    </row>
    <row r="58" spans="1:14" ht="20.100000000000001" hidden="1" customHeight="1" x14ac:dyDescent="0.25">
      <c r="B58" s="674"/>
      <c r="C58" s="674"/>
      <c r="D58" s="674"/>
      <c r="E58" s="674"/>
      <c r="F58" s="462"/>
      <c r="G58" s="462"/>
      <c r="H58" s="462"/>
      <c r="I58" s="462"/>
      <c r="J58" s="462"/>
      <c r="K58" s="462"/>
      <c r="L58" s="462"/>
      <c r="M58" s="1"/>
      <c r="N58" s="1"/>
    </row>
    <row r="59" spans="1:14" ht="20.100000000000001" hidden="1" customHeight="1" x14ac:dyDescent="0.25">
      <c r="B59" s="674"/>
      <c r="C59" s="674"/>
      <c r="D59" s="674"/>
      <c r="E59" s="674"/>
      <c r="F59" s="462"/>
      <c r="G59" s="462"/>
      <c r="H59" s="462"/>
      <c r="I59" s="462"/>
      <c r="J59" s="462"/>
      <c r="K59" s="462"/>
      <c r="L59" s="462"/>
      <c r="M59" s="1"/>
      <c r="N59" s="1"/>
    </row>
    <row r="60" spans="1:14" ht="20.100000000000001" hidden="1" customHeight="1" x14ac:dyDescent="0.25">
      <c r="B60" s="674"/>
      <c r="C60" s="674"/>
      <c r="D60" s="674"/>
      <c r="E60" s="674"/>
      <c r="F60" s="462"/>
      <c r="G60" s="462"/>
      <c r="H60" s="462"/>
      <c r="I60" s="462"/>
      <c r="J60" s="462"/>
      <c r="K60" s="462"/>
      <c r="L60" s="462"/>
      <c r="M60" s="1"/>
      <c r="N60" s="1"/>
    </row>
    <row r="61" spans="1:14" ht="20.100000000000001" hidden="1" customHeight="1" x14ac:dyDescent="0.25">
      <c r="B61" s="674"/>
      <c r="C61" s="674"/>
      <c r="D61" s="674"/>
      <c r="E61" s="674"/>
      <c r="F61" s="462"/>
      <c r="G61" s="462"/>
      <c r="H61" s="462"/>
      <c r="I61" s="462"/>
      <c r="J61" s="462"/>
      <c r="K61" s="462"/>
      <c r="L61" s="462"/>
      <c r="M61" s="1"/>
      <c r="N61" s="1"/>
    </row>
    <row r="62" spans="1:14" ht="20.100000000000001" hidden="1" customHeight="1" x14ac:dyDescent="0.25">
      <c r="B62" s="674"/>
      <c r="C62" s="674"/>
      <c r="D62" s="674"/>
      <c r="E62" s="674"/>
      <c r="F62" s="462"/>
      <c r="G62" s="462"/>
      <c r="H62" s="462"/>
      <c r="I62" s="462"/>
      <c r="J62" s="462"/>
      <c r="K62" s="462"/>
      <c r="L62" s="462"/>
      <c r="M62" s="1"/>
      <c r="N62" s="1"/>
    </row>
  </sheetData>
  <sheetProtection selectLockedCells="1"/>
  <mergeCells count="1">
    <mergeCell ref="C32:D32"/>
  </mergeCells>
  <printOptions horizontalCentered="1"/>
  <pageMargins left="0.5" right="0.5" top="0.5" bottom="0.5" header="0.5" footer="0.5"/>
  <pageSetup paperSize="9" scale="6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P o w e r P i v o t V e r s i o n " > < C u s t o m C o n t e n t > < ! [ C D A T A [ 2 0 1 5 . 1 3 0 . 8 0 0 . 6 9 8 ] ] > < / 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AC45B4F290F89343BE8E984764BF921D" ma:contentTypeVersion="12" ma:contentTypeDescription="Create a new document." ma:contentTypeScope="" ma:versionID="f7d5126cd5d22a3535f2994e6dd9fa1b">
  <xsd:schema xmlns:xsd="http://www.w3.org/2001/XMLSchema" xmlns:xs="http://www.w3.org/2001/XMLSchema" xmlns:p="http://schemas.microsoft.com/office/2006/metadata/properties" xmlns:ns2="e6419a57-f989-41e6-b47e-52789c3782b5" xmlns:ns3="6ce7796f-ebfc-4bca-b8b7-7eb6ec417a63" targetNamespace="http://schemas.microsoft.com/office/2006/metadata/properties" ma:root="true" ma:fieldsID="e945bea740998940816ee3198f31ccb5" ns2:_="" ns3:_="">
    <xsd:import namespace="e6419a57-f989-41e6-b47e-52789c3782b5"/>
    <xsd:import namespace="6ce7796f-ebfc-4bca-b8b7-7eb6ec417a6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Location"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19a57-f989-41e6-b47e-52789c3782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e7796f-ebfc-4bca-b8b7-7eb6ec417a6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 2 0 1 9 - 0 1 - 2 8 T 1 4 : 1 7 : 2 1 . 9 6 9 4 3 9 6 + 1 3 : 0 0 < / L a s t P r o c e s s e d T i m e > < / D a t a M o d e l i n g S a n d b o x . S e r i a l i z e d S a n d b o x E r r o r C a c h e > ] ] > < / C u s t o m C o n t e n t > < / G e m i n i > 
</file>

<file path=customXml/item5.xml>��< ? x m l   v e r s i o n = " 1 . 0 "   e n c o d i n g = " U T F - 1 6 " ? > < G e m i n i   x m l n s = " h t t p : / / g e m i n i / p i v o t c u s t o m i z a t i o n / I s S a n d b o x E m b e d d e d " > < C u s t o m C o n t e n t > < ! [ C D A T A [ y e s ] ] > < / C u s t o m C o n t e n t > < / G e m i n i > 
</file>

<file path=customXml/item6.xml>��< ? x m l   v e r s i o n = " 1 . 0 "   e n c o d i n g = " U T F - 1 6 " ? > < G e m i n i   x m l n s = " h t t p : / / g e m i n i / p i v o t c u s t o m i z a t i o n / R e l a t i o n s h i p A u t o D e t e c t i o n E n a b l e d " > < C u s t o m C o n t e n t > < ! [ C D A T A [ T r u e ] ] > < / C u s t o m C o n t e n t > < / G e m i n i > 
</file>

<file path=customXml/item7.xml><?xml version="1.0" encoding="utf-8"?>
<p:properties xmlns:p="http://schemas.microsoft.com/office/2006/metadata/properties" xmlns:xsi="http://www.w3.org/2001/XMLSchema-instance" xmlns:pc="http://schemas.microsoft.com/office/infopath/2007/PartnerControls">
  <documentManagement>
    <SharedWithUsers xmlns="6ce7796f-ebfc-4bca-b8b7-7eb6ec417a63">
      <UserInfo>
        <DisplayName>Samantha Tennent</DisplayName>
        <AccountId>15</AccountId>
        <AccountType/>
      </UserInfo>
      <UserInfo>
        <DisplayName>Joanne Gisborne</DisplayName>
        <AccountId>57</AccountId>
        <AccountType/>
      </UserInfo>
    </SharedWithUsers>
  </documentManagement>
</p:properties>
</file>

<file path=customXml/item8.xml>��< ? x m l   v e r s i o n = " 1 . 0 "   e n c o d i n g = " U T F - 1 6 " ? > < G e m i n i   x m l n s = " h t t p : / / g e m i n i / p i v o t c u s t o m i z a t i o n / S a n d b o x N o n E m p t y " > < C u s t o m C o n t e n t > < ! [ C D A T A [ 1 ] ] > < / C u s t o m C o n t e n t > < / G e m i n i > 
</file>

<file path=customXml/itemProps1.xml><?xml version="1.0" encoding="utf-8"?>
<ds:datastoreItem xmlns:ds="http://schemas.openxmlformats.org/officeDocument/2006/customXml" ds:itemID="{B9D0CC47-9A4B-421C-B3FD-FBAB8ECA2587}">
  <ds:schemaRefs>
    <ds:schemaRef ds:uri="http://schemas.microsoft.com/sharepoint/v3/contenttype/forms"/>
  </ds:schemaRefs>
</ds:datastoreItem>
</file>

<file path=customXml/itemProps2.xml><?xml version="1.0" encoding="utf-8"?>
<ds:datastoreItem xmlns:ds="http://schemas.openxmlformats.org/officeDocument/2006/customXml" ds:itemID="{729A1ED3-136E-4551-A15B-FA84B54A97FB}">
  <ds:schemaRefs>
    <ds:schemaRef ds:uri="http://gemini/pivotcustomization/PowerPivotVersion"/>
  </ds:schemaRefs>
</ds:datastoreItem>
</file>

<file path=customXml/itemProps3.xml><?xml version="1.0" encoding="utf-8"?>
<ds:datastoreItem xmlns:ds="http://schemas.openxmlformats.org/officeDocument/2006/customXml" ds:itemID="{93D0EC9F-11AF-4CA6-B9D1-BA488DC52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19a57-f989-41e6-b47e-52789c3782b5"/>
    <ds:schemaRef ds:uri="6ce7796f-ebfc-4bca-b8b7-7eb6ec417a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3A500C-90B3-4DB8-9E7E-F1C677171065}">
  <ds:schemaRefs>
    <ds:schemaRef ds:uri="http://gemini/pivotcustomization/ErrorCache"/>
  </ds:schemaRefs>
</ds:datastoreItem>
</file>

<file path=customXml/itemProps5.xml><?xml version="1.0" encoding="utf-8"?>
<ds:datastoreItem xmlns:ds="http://schemas.openxmlformats.org/officeDocument/2006/customXml" ds:itemID="{F727FC45-A6F3-4796-803F-D7C47D597E81}">
  <ds:schemaRefs>
    <ds:schemaRef ds:uri="http://gemini/pivotcustomization/IsSandboxEmbedded"/>
  </ds:schemaRefs>
</ds:datastoreItem>
</file>

<file path=customXml/itemProps6.xml><?xml version="1.0" encoding="utf-8"?>
<ds:datastoreItem xmlns:ds="http://schemas.openxmlformats.org/officeDocument/2006/customXml" ds:itemID="{6241D260-D5B9-49F6-BFA2-CF5E3E03FEE4}">
  <ds:schemaRefs>
    <ds:schemaRef ds:uri="http://gemini/pivotcustomization/RelationshipAutoDetectionEnabled"/>
  </ds:schemaRefs>
</ds:datastoreItem>
</file>

<file path=customXml/itemProps7.xml><?xml version="1.0" encoding="utf-8"?>
<ds:datastoreItem xmlns:ds="http://schemas.openxmlformats.org/officeDocument/2006/customXml" ds:itemID="{7B3AD65B-CFCD-4714-BD98-8CE7A7EB9107}">
  <ds:schemaRefs>
    <ds:schemaRef ds:uri="http://schemas.openxmlformats.org/package/2006/metadata/core-properties"/>
    <ds:schemaRef ds:uri="http://schemas.microsoft.com/office/2006/documentManagement/types"/>
    <ds:schemaRef ds:uri="193b4ee2-b524-418d-9b76-e914e6460f0a"/>
    <ds:schemaRef ds:uri="http://purl.org/dc/elements/1.1/"/>
    <ds:schemaRef ds:uri="http://schemas.microsoft.com/office/2006/metadata/properties"/>
    <ds:schemaRef ds:uri="http://schemas.microsoft.com/office/infopath/2007/PartnerControls"/>
    <ds:schemaRef ds:uri="http://purl.org/dc/terms/"/>
    <ds:schemaRef ds:uri="91494fc2-4cd1-4290-af9b-1f357191d0f4"/>
    <ds:schemaRef ds:uri="http://www.w3.org/XML/1998/namespace"/>
    <ds:schemaRef ds:uri="http://purl.org/dc/dcmitype/"/>
    <ds:schemaRef ds:uri="6ce7796f-ebfc-4bca-b8b7-7eb6ec417a63"/>
  </ds:schemaRefs>
</ds:datastoreItem>
</file>

<file path=customXml/itemProps8.xml><?xml version="1.0" encoding="utf-8"?>
<ds:datastoreItem xmlns:ds="http://schemas.openxmlformats.org/officeDocument/2006/customXml" ds:itemID="{F200B4E3-2B97-4A7D-8125-9A51C535BF93}">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Report Example</vt:lpstr>
      <vt:lpstr>Instructions</vt:lpstr>
      <vt:lpstr>Input Sheet</vt:lpstr>
      <vt:lpstr>Results Page</vt:lpstr>
      <vt:lpstr>Non- Cycling</vt:lpstr>
      <vt:lpstr>Heat Detection</vt:lpstr>
      <vt:lpstr>BCS loss @ early lactation</vt:lpstr>
      <vt:lpstr>BCS @ Calving</vt:lpstr>
      <vt:lpstr>Cow Health</vt:lpstr>
      <vt:lpstr>Calving Pattern</vt:lpstr>
      <vt:lpstr>Heifer Rearing</vt:lpstr>
      <vt:lpstr>Glossary</vt:lpstr>
      <vt:lpstr>'BCS @ Calving'!Print_Area</vt:lpstr>
      <vt:lpstr>'BCS loss @ early lactation'!Print_Area</vt:lpstr>
      <vt:lpstr>'Calving Pattern'!Print_Area</vt:lpstr>
      <vt:lpstr>'Cow Health'!Print_Area</vt:lpstr>
      <vt:lpstr>Glossary!Print_Area</vt:lpstr>
      <vt:lpstr>'Heat Detection'!Print_Area</vt:lpstr>
      <vt:lpstr>'Heifer Rearing'!Print_Area</vt:lpstr>
      <vt:lpstr>'Input Sheet'!Print_Area</vt:lpstr>
      <vt:lpstr>Instructions!Print_Area</vt:lpstr>
      <vt:lpstr>'Non- Cycling'!Print_Area</vt:lpstr>
      <vt:lpstr>'Report Example'!Print_Area</vt:lpstr>
      <vt:lpstr>'Results Page'!Print_Area</vt:lpstr>
    </vt:vector>
  </TitlesOfParts>
  <Manager/>
  <Company>DairyNZ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Lawn</dc:creator>
  <cp:keywords/>
  <dc:description/>
  <cp:lastModifiedBy>Vanessa Bates</cp:lastModifiedBy>
  <cp:revision/>
  <dcterms:created xsi:type="dcterms:W3CDTF">2014-05-27T01:54:16Z</dcterms:created>
  <dcterms:modified xsi:type="dcterms:W3CDTF">2021-07-13T21:21:57Z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0x010100AC45B4F290F89343BE8E984764BF921D</vt:lpwstr>
  </property>
  <property fmtid="{D5CDD505-2E9C-101B-9397-08002B2CF9AE}" pid="3" name="AuthorIds_UIVersion_512">
    <vt:lpwstr>16</vt:lpwstr>
  </property>
</Properties>
</file>